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Рабочий стол\Дополнительные услуги\Новые документы по ВОЛС (согласно внесенным изменениям Пр №599 от 25.09.18 и Пр 415 от 12.07.2018)\"/>
    </mc:Choice>
  </mc:AlternateContent>
  <bookViews>
    <workbookView xWindow="0" yWindow="240" windowWidth="21315" windowHeight="9735" tabRatio="709" activeTab="3"/>
  </bookViews>
  <sheets>
    <sheet name="ВЛ-0,4 кВ" sheetId="44" r:id="rId1"/>
    <sheet name="ВЛ-6 (10) кВ" sheetId="42" r:id="rId2"/>
    <sheet name="ВЛ 35 кВ" sheetId="45" r:id="rId3"/>
    <sheet name="ВЛ 110 кВ" sheetId="46" r:id="rId4"/>
    <sheet name="СВОД" sheetId="47" state="hidden" r:id="rId5"/>
  </sheets>
  <definedNames>
    <definedName name="_xlnm.Print_Area" localSheetId="3">'ВЛ 110 кВ'!$A$1:$J$98</definedName>
    <definedName name="_xlnm.Print_Area" localSheetId="2">'ВЛ 35 кВ'!$A$1:$J$99</definedName>
    <definedName name="_xlnm.Print_Area" localSheetId="0">'ВЛ-0,4 кВ'!$A$1:$J$104</definedName>
    <definedName name="_xlnm.Print_Area" localSheetId="1">'ВЛ-6 (10) кВ'!$A$1:$J$99</definedName>
    <definedName name="_xlnm.Print_Area" localSheetId="4">СВОД!$B$2:$F$9</definedName>
  </definedNames>
  <calcPr calcId="162913"/>
</workbook>
</file>

<file path=xl/calcChain.xml><?xml version="1.0" encoding="utf-8"?>
<calcChain xmlns="http://schemas.openxmlformats.org/spreadsheetml/2006/main">
  <c r="D22" i="46" l="1"/>
  <c r="D23" i="45" l="1"/>
  <c r="F9" i="47" l="1"/>
  <c r="E9" i="47"/>
  <c r="D9" i="47"/>
  <c r="C9" i="47"/>
  <c r="D15" i="46"/>
  <c r="F8" i="47" s="1"/>
  <c r="D15" i="42" l="1"/>
  <c r="D8" i="47" s="1"/>
  <c r="D20" i="44"/>
  <c r="C8" i="47" s="1"/>
  <c r="D16" i="45"/>
  <c r="E8" i="47" s="1"/>
  <c r="D16" i="46" l="1"/>
  <c r="G49" i="46" s="1"/>
  <c r="D17" i="45"/>
  <c r="G50" i="45" s="1"/>
  <c r="D23" i="46" l="1"/>
  <c r="D24" i="45"/>
  <c r="D21" i="45" l="1"/>
  <c r="D20" i="45"/>
  <c r="D19" i="46" l="1"/>
  <c r="G50" i="46" s="1"/>
  <c r="G51" i="45"/>
  <c r="D20" i="46"/>
  <c r="G51" i="46" s="1"/>
  <c r="G52" i="45"/>
  <c r="D19" i="45"/>
  <c r="G53" i="45" s="1"/>
  <c r="D18" i="46" l="1"/>
  <c r="G52" i="46" s="1"/>
  <c r="H52" i="46" s="1"/>
  <c r="D42" i="46"/>
  <c r="E49" i="46" s="1"/>
  <c r="F49" i="46" s="1"/>
  <c r="F79" i="46"/>
  <c r="F78" i="46"/>
  <c r="D71" i="46"/>
  <c r="D70" i="46"/>
  <c r="D66" i="46"/>
  <c r="D67" i="46" s="1"/>
  <c r="D63" i="46"/>
  <c r="D61" i="46"/>
  <c r="H51" i="46"/>
  <c r="D50" i="46"/>
  <c r="D52" i="46" s="1"/>
  <c r="D62" i="46"/>
  <c r="D16" i="42"/>
  <c r="G50" i="42" s="1"/>
  <c r="D21" i="44"/>
  <c r="H50" i="45"/>
  <c r="D71" i="45"/>
  <c r="D43" i="45"/>
  <c r="E50" i="45" s="1"/>
  <c r="F50" i="45" s="1"/>
  <c r="I50" i="45" s="1"/>
  <c r="F80" i="45"/>
  <c r="F79" i="45"/>
  <c r="D72" i="45"/>
  <c r="D67" i="45"/>
  <c r="D68" i="45" s="1"/>
  <c r="D64" i="45"/>
  <c r="D62" i="45"/>
  <c r="H53" i="45"/>
  <c r="H52" i="45"/>
  <c r="D51" i="45"/>
  <c r="D53" i="45" s="1"/>
  <c r="D63" i="45"/>
  <c r="D51" i="46" l="1"/>
  <c r="D52" i="45"/>
  <c r="J50" i="45"/>
  <c r="D64" i="46"/>
  <c r="D68" i="46" s="1"/>
  <c r="G79" i="46" s="1"/>
  <c r="D65" i="45"/>
  <c r="D69" i="45" s="1"/>
  <c r="G79" i="45" s="1"/>
  <c r="E50" i="46"/>
  <c r="F50" i="46" s="1"/>
  <c r="I50" i="46" s="1"/>
  <c r="I49" i="46"/>
  <c r="H50" i="46"/>
  <c r="H49" i="46"/>
  <c r="G53" i="46"/>
  <c r="G54" i="45"/>
  <c r="E51" i="45"/>
  <c r="F51" i="45" s="1"/>
  <c r="I51" i="45" s="1"/>
  <c r="H51" i="45"/>
  <c r="F85" i="44"/>
  <c r="F84" i="44"/>
  <c r="D77" i="44"/>
  <c r="D76" i="44"/>
  <c r="D72" i="44"/>
  <c r="D73" i="44" s="1"/>
  <c r="D69" i="44"/>
  <c r="D67" i="44"/>
  <c r="G58" i="44"/>
  <c r="H58" i="44" s="1"/>
  <c r="G57" i="44"/>
  <c r="G56" i="44"/>
  <c r="H56" i="44" s="1"/>
  <c r="D56" i="44"/>
  <c r="D58" i="44" s="1"/>
  <c r="D48" i="44"/>
  <c r="E55" i="44" s="1"/>
  <c r="D28" i="44"/>
  <c r="D68" i="44" s="1"/>
  <c r="G55" i="44"/>
  <c r="J50" i="46" l="1"/>
  <c r="G78" i="46"/>
  <c r="G80" i="46" s="1"/>
  <c r="G80" i="45"/>
  <c r="H80" i="45" s="1"/>
  <c r="J80" i="45" s="1"/>
  <c r="E56" i="44"/>
  <c r="E57" i="44" s="1"/>
  <c r="F55" i="44"/>
  <c r="I79" i="46"/>
  <c r="H79" i="46"/>
  <c r="J79" i="46" s="1"/>
  <c r="E51" i="46"/>
  <c r="F51" i="46" s="1"/>
  <c r="E52" i="46"/>
  <c r="F52" i="46" s="1"/>
  <c r="H53" i="46"/>
  <c r="J49" i="46"/>
  <c r="E52" i="45"/>
  <c r="F52" i="45" s="1"/>
  <c r="E53" i="45"/>
  <c r="F53" i="45" s="1"/>
  <c r="H54" i="45"/>
  <c r="J51" i="45"/>
  <c r="I79" i="45"/>
  <c r="H79" i="45"/>
  <c r="D57" i="44"/>
  <c r="D70" i="44"/>
  <c r="D74" i="44" s="1"/>
  <c r="F56" i="44"/>
  <c r="I56" i="44" s="1"/>
  <c r="G59" i="44"/>
  <c r="H55" i="44"/>
  <c r="I55" i="44"/>
  <c r="H57" i="44"/>
  <c r="D43" i="42"/>
  <c r="E50" i="42" s="1"/>
  <c r="F50" i="42" s="1"/>
  <c r="G53" i="42"/>
  <c r="G52" i="42"/>
  <c r="G51" i="42"/>
  <c r="F57" i="44" l="1"/>
  <c r="I57" i="44" s="1"/>
  <c r="E58" i="44"/>
  <c r="F58" i="44" s="1"/>
  <c r="I58" i="44" s="1"/>
  <c r="I78" i="46"/>
  <c r="I80" i="46" s="1"/>
  <c r="D87" i="46" s="1"/>
  <c r="H78" i="46"/>
  <c r="J78" i="46" s="1"/>
  <c r="J80" i="46" s="1"/>
  <c r="E87" i="46" s="1"/>
  <c r="G81" i="45"/>
  <c r="I80" i="45"/>
  <c r="I81" i="45" s="1"/>
  <c r="D88" i="45" s="1"/>
  <c r="I52" i="46"/>
  <c r="J52" i="46"/>
  <c r="I51" i="46"/>
  <c r="J51" i="46"/>
  <c r="I52" i="45"/>
  <c r="J52" i="45"/>
  <c r="J53" i="45"/>
  <c r="I53" i="45"/>
  <c r="H81" i="45"/>
  <c r="J79" i="45"/>
  <c r="J81" i="45" s="1"/>
  <c r="E88" i="45" s="1"/>
  <c r="J57" i="44"/>
  <c r="J56" i="44"/>
  <c r="H59" i="44"/>
  <c r="J55" i="44"/>
  <c r="G85" i="44"/>
  <c r="G84" i="44"/>
  <c r="F80" i="42"/>
  <c r="F79" i="42"/>
  <c r="D72" i="42"/>
  <c r="D71" i="42"/>
  <c r="D67" i="42"/>
  <c r="D68" i="42" s="1"/>
  <c r="D64" i="42"/>
  <c r="D62" i="42"/>
  <c r="H53" i="42"/>
  <c r="H52" i="42"/>
  <c r="D51" i="42"/>
  <c r="D53" i="42" s="1"/>
  <c r="E51" i="42"/>
  <c r="D23" i="42"/>
  <c r="J58" i="44" l="1"/>
  <c r="I59" i="44"/>
  <c r="D92" i="44" s="1"/>
  <c r="F51" i="42"/>
  <c r="I51" i="42" s="1"/>
  <c r="H80" i="46"/>
  <c r="J54" i="45"/>
  <c r="E87" i="45" s="1"/>
  <c r="J53" i="46"/>
  <c r="E86" i="46" s="1"/>
  <c r="I53" i="46"/>
  <c r="D86" i="46" s="1"/>
  <c r="I54" i="45"/>
  <c r="D87" i="45" s="1"/>
  <c r="J59" i="44"/>
  <c r="E92" i="44" s="1"/>
  <c r="I84" i="44"/>
  <c r="G86" i="44"/>
  <c r="H84" i="44"/>
  <c r="H85" i="44"/>
  <c r="J85" i="44" s="1"/>
  <c r="I85" i="44"/>
  <c r="D63" i="42"/>
  <c r="D65" i="42" s="1"/>
  <c r="D69" i="42" s="1"/>
  <c r="G80" i="42" s="1"/>
  <c r="D52" i="42"/>
  <c r="G54" i="42"/>
  <c r="H50" i="42"/>
  <c r="E53" i="42"/>
  <c r="F53" i="42" s="1"/>
  <c r="E52" i="42"/>
  <c r="I50" i="42"/>
  <c r="H51" i="42"/>
  <c r="E89" i="45" l="1"/>
  <c r="E88" i="46"/>
  <c r="D88" i="46"/>
  <c r="D89" i="45"/>
  <c r="I86" i="44"/>
  <c r="D93" i="44" s="1"/>
  <c r="H86" i="44"/>
  <c r="J84" i="44"/>
  <c r="J86" i="44" s="1"/>
  <c r="E93" i="44" s="1"/>
  <c r="F52" i="42"/>
  <c r="J52" i="42" s="1"/>
  <c r="G79" i="42"/>
  <c r="G81" i="42" s="1"/>
  <c r="J51" i="42"/>
  <c r="I53" i="42"/>
  <c r="J53" i="42"/>
  <c r="H80" i="42"/>
  <c r="J80" i="42" s="1"/>
  <c r="I80" i="42"/>
  <c r="J50" i="42"/>
  <c r="H54" i="42"/>
  <c r="D90" i="45" l="1"/>
  <c r="D91" i="45" s="1"/>
  <c r="E89" i="46"/>
  <c r="D89" i="46"/>
  <c r="E90" i="45"/>
  <c r="I52" i="42"/>
  <c r="I54" i="42" s="1"/>
  <c r="D87" i="42" s="1"/>
  <c r="E94" i="44"/>
  <c r="E95" i="44" s="1"/>
  <c r="D94" i="44"/>
  <c r="D95" i="44" s="1"/>
  <c r="I79" i="42"/>
  <c r="I81" i="42" s="1"/>
  <c r="D88" i="42" s="1"/>
  <c r="H79" i="42"/>
  <c r="H81" i="42" s="1"/>
  <c r="J54" i="42"/>
  <c r="E87" i="42" s="1"/>
  <c r="E91" i="45" l="1"/>
  <c r="E90" i="46"/>
  <c r="D92" i="45"/>
  <c r="D90" i="46"/>
  <c r="D96" i="44"/>
  <c r="D97" i="44" s="1"/>
  <c r="E96" i="44"/>
  <c r="E97" i="44" s="1"/>
  <c r="D89" i="42"/>
  <c r="D90" i="42" s="1"/>
  <c r="J79" i="42"/>
  <c r="J81" i="42" s="1"/>
  <c r="E88" i="42" s="1"/>
  <c r="E89" i="42" s="1"/>
  <c r="D91" i="46" l="1"/>
  <c r="E91" i="46"/>
  <c r="E92" i="45"/>
  <c r="D93" i="45"/>
  <c r="D98" i="44"/>
  <c r="D99" i="44" s="1"/>
  <c r="E98" i="44"/>
  <c r="E99" i="44" s="1"/>
  <c r="D91" i="42"/>
  <c r="D92" i="42" s="1"/>
  <c r="E90" i="42"/>
  <c r="D94" i="45" l="1"/>
  <c r="E92" i="46"/>
  <c r="E93" i="45"/>
  <c r="D92" i="46"/>
  <c r="D100" i="44"/>
  <c r="D101" i="44" s="1"/>
  <c r="D104" i="44" s="1"/>
  <c r="C5" i="47" s="1"/>
  <c r="E100" i="44"/>
  <c r="E101" i="44" s="1"/>
  <c r="E104" i="44" s="1"/>
  <c r="C6" i="47" s="1"/>
  <c r="D93" i="42"/>
  <c r="D94" i="42" s="1"/>
  <c r="E91" i="42"/>
  <c r="E92" i="42" s="1"/>
  <c r="D93" i="46" l="1"/>
  <c r="E93" i="46"/>
  <c r="E94" i="45"/>
  <c r="D95" i="45"/>
  <c r="D95" i="42"/>
  <c r="D96" i="42" s="1"/>
  <c r="D99" i="42" s="1"/>
  <c r="D5" i="47" s="1"/>
  <c r="E93" i="42"/>
  <c r="E94" i="42" s="1"/>
  <c r="E95" i="42" s="1"/>
  <c r="E96" i="42" s="1"/>
  <c r="E99" i="42" s="1"/>
  <c r="D6" i="47" s="1"/>
  <c r="E94" i="46" l="1"/>
  <c r="D96" i="45"/>
  <c r="E95" i="45"/>
  <c r="D94" i="46"/>
  <c r="D95" i="46" l="1"/>
  <c r="D99" i="45"/>
  <c r="E95" i="46"/>
  <c r="E96" i="45"/>
  <c r="E99" i="45" l="1"/>
  <c r="D100" i="45"/>
  <c r="E5" i="47"/>
  <c r="E98" i="46"/>
  <c r="D98" i="46"/>
  <c r="D99" i="46" l="1"/>
  <c r="F5" i="47"/>
  <c r="E99" i="46"/>
  <c r="F6" i="47"/>
  <c r="E100" i="45"/>
  <c r="F100" i="45" s="1"/>
  <c r="E6" i="47"/>
</calcChain>
</file>

<file path=xl/sharedStrings.xml><?xml version="1.0" encoding="utf-8"?>
<sst xmlns="http://schemas.openxmlformats.org/spreadsheetml/2006/main" count="403" uniqueCount="129">
  <si>
    <t>Удельные затраты на расчистку 1 км. трассы в год</t>
  </si>
  <si>
    <t>Удельные затраты на АВР опор на 1 км ВЛ, руб. в год</t>
  </si>
  <si>
    <t xml:space="preserve">Удельные затраты на обслуживание опор на км. в год </t>
  </si>
  <si>
    <t>Рентабельность</t>
  </si>
  <si>
    <t>Исходные предпосылки</t>
  </si>
  <si>
    <t>Итого:</t>
  </si>
  <si>
    <t>Средневзвешенное Количество подвесов (проводов +ВОК)</t>
  </si>
  <si>
    <t xml:space="preserve">Накладные затраты </t>
  </si>
  <si>
    <t>в год на  км без НДС</t>
  </si>
  <si>
    <t>Накладные</t>
  </si>
  <si>
    <t>Условия  платежа</t>
  </si>
  <si>
    <t xml:space="preserve">Финасовые показатели </t>
  </si>
  <si>
    <t xml:space="preserve">Рентабельность </t>
  </si>
  <si>
    <t xml:space="preserve">Итого </t>
  </si>
  <si>
    <t>в год на  опору без НДС</t>
  </si>
  <si>
    <t>Отчисления на представительство (агентские)  / затраты на взаимодействие с клиентом</t>
  </si>
  <si>
    <t>Доля  затрат на обслуживание трассы ВЛ ( расчистка охранной зоны ВЛ и подъездных путей), необходимые для обеспечения эксплуатации линий и ВОК</t>
  </si>
  <si>
    <t xml:space="preserve">Доля затрат на инфраструктуру (амортизация) зависящие от наличия подвеса ВОК и количества проводов  </t>
  </si>
  <si>
    <t>Ставка дисконтирования</t>
  </si>
  <si>
    <t>Доля затрат относимая на подвесы (провода и ВОК)</t>
  </si>
  <si>
    <t xml:space="preserve">Удельные затраты на перекладку ВОК с учетом вероятности проведения модернизации ВЛ - (работы+материалы)  </t>
  </si>
  <si>
    <t xml:space="preserve">Удельные затраты на перекладку ВОК с учетом вероятности проведения капремонта ВЛ - (работы+материалы)  </t>
  </si>
  <si>
    <t xml:space="preserve">Минимальная цена для заказчика (бюджетная оценка) ВОК </t>
  </si>
  <si>
    <t xml:space="preserve">Ежемесячно  от момента подписания </t>
  </si>
  <si>
    <t>Средний % модернизации в год от общей протяженности ВЛ ДЗО ( или прогноз - от используемых ВЛ)</t>
  </si>
  <si>
    <t>Средний % капренмонта в год от общей протяженности ВЛ ДЗО ( или прогноз - от используемых ВЛ)</t>
  </si>
  <si>
    <t>Период амортизации (лет)</t>
  </si>
  <si>
    <t>Количество опор на км.</t>
  </si>
  <si>
    <t>Количество проводов на опоре</t>
  </si>
  <si>
    <t>Балансовая цена опор на 1км.ВЛ ( без затрат на  провода) без НДС</t>
  </si>
  <si>
    <t>Амортизация 1 км. в год без НДС</t>
  </si>
  <si>
    <t>В случае реконструкции, капитального ремонта Используемого имущества (части Используемого имущества), повлекшего демонтаж Линии связи Пользователя (части Линии связи Пользователя), Собственник в разумный срок своими силами и за свой счет осуществит весь комплекс работ по созданию линии связи, аналогичной демонтированной, и передаст указанную линию в собственность Пользователя в качестве компенсации за причиненный ущерб.</t>
  </si>
  <si>
    <t>общая протяженность вновь созданной Линии связи Пользователя должна быть равна протяженности Линии связи Пользователя до ее демонтажа (демонтажа ее части) плюс-минус 5 (пять) процентов</t>
  </si>
  <si>
    <t>Итого работы и материалы:</t>
  </si>
  <si>
    <t>Стоимость самонесушего кабеля за 1 км. без НДС</t>
  </si>
  <si>
    <t>Итого ВОК:</t>
  </si>
  <si>
    <t>Цена самонесушего кабеля  за 1 км. без НДС</t>
  </si>
  <si>
    <t>Итого средние затраты на перевес 1 км ВОК</t>
  </si>
  <si>
    <t>Параметры и допущения</t>
  </si>
  <si>
    <t>Максимальный процент заменяемого ВОК (увеличение трассы 5% +10% риск возможного повреждения ВОК)</t>
  </si>
  <si>
    <t>Материалы</t>
  </si>
  <si>
    <t>Средний % капренмонта в год от общей протяженности ВЛ ДЗО ( или прогноз - для используемых ВЛ)</t>
  </si>
  <si>
    <t>Средний % модернизации в год от общей протяженности ВЛ ДЗО ( или прогноз - для используемых ВЛ)</t>
  </si>
  <si>
    <t xml:space="preserve"> </t>
  </si>
  <si>
    <t>Затраты на подвеску ВОК за 1 км. без НДС</t>
  </si>
  <si>
    <t>Затраты на снятие ВОК за 1 км. без НДС (70% от подвески)</t>
  </si>
  <si>
    <t>Средневзвешенные значения по ДЗО (*)</t>
  </si>
  <si>
    <t>Количество подвешенных ВОК</t>
  </si>
  <si>
    <t>2. Оценка бюджетных затрат  связанных с переподвеской ВОК при проведении модернизации / КР ВЛ</t>
  </si>
  <si>
    <t>Учитываемые статьм затрат на объект размещения (ОР),  при вычислении  доли  включаемой в  цену предоставления услуги</t>
  </si>
  <si>
    <t>3. Расчет бюджетной  цены услуги</t>
  </si>
  <si>
    <t>Итого затрат на услугу</t>
  </si>
  <si>
    <t>Затраты на оказание услуг</t>
  </si>
  <si>
    <t>Затраты  связанные с переподвеской ВОК при проведении модернизации / КР ВЛ</t>
  </si>
  <si>
    <t>Затраты на сервисменеджмент, управление решением проблем, Call Centre …</t>
  </si>
  <si>
    <t>Затраты  включаемые в  цену предоставления услуги</t>
  </si>
  <si>
    <t>затраты на объект размещения, относимые  на услугу</t>
  </si>
  <si>
    <t>Доля затрат на ВОКОС-ВЛ</t>
  </si>
  <si>
    <t>Учитываемые статьи затрат на объект размещения (ОР) - ВЛ,  при вычислении  доли  включаемой в  цену услуги ВОКОС-ВЛ</t>
  </si>
  <si>
    <t>Итого расходы относимые на предоставление усулги ВОКОС-ВЛ</t>
  </si>
  <si>
    <t>Затратный метод оценки</t>
  </si>
  <si>
    <t>в мес на  км без НДС</t>
  </si>
  <si>
    <t>в мес на  опору без НДС</t>
  </si>
  <si>
    <t>в год (12 мес) на  км без НДС</t>
  </si>
  <si>
    <t>Исходные параметры ВЛ-0,4 кВ</t>
  </si>
  <si>
    <t>Параметры  ВЛ-0,4 кВ</t>
  </si>
  <si>
    <t>ВЛ-0,4 кВ</t>
  </si>
  <si>
    <t>1. Оценка бюджетных затрат на объект размещения  (ВЛ -0,4 кВ ДЗО), относимые  на услугу</t>
  </si>
  <si>
    <t>ВЛ-6 (10) кВ</t>
  </si>
  <si>
    <t>Исходные параметры ВЛ-6 (10) кВ</t>
  </si>
  <si>
    <t>Параметры  ВЛ-6 (10) кВ</t>
  </si>
  <si>
    <t>1. Оценка бюджетных затрат на объект размещения  (ВЛ-6 (10) кВ), относимые  на услугу</t>
  </si>
  <si>
    <t>Общие затраты на ВЛ-6 (10) кВ ДЗО</t>
  </si>
  <si>
    <t>Доля включаемая в цену размещения ВОКОС-ВЛ равна 1/средневзвешенное количество подвесов (проводов+ВОК)</t>
  </si>
  <si>
    <t>Общие затраты на ВЛ-0,4 кВ ДЗО</t>
  </si>
  <si>
    <t xml:space="preserve">в том числе доля  ВОКОС-ВЛ </t>
  </si>
  <si>
    <t>Итого доля ВОКОС-ВЛ  ВОК от всех затрат по статье</t>
  </si>
  <si>
    <t>Доля включаемая в цену предоставления ВОКОС-ВЛ равна 1/средневзвешенное количество подвесов (проводов+ВОК)</t>
  </si>
  <si>
    <t>Доля затраты на обслуживание опор (осмотры, текущие ремонты), пропорционально относимые на размещение ВОКОС-ВЛ</t>
  </si>
  <si>
    <t>Доля затраты на АВР опор, пропорционально относимые на услугу по размещению ВОКОС-ВЛ</t>
  </si>
  <si>
    <t>Учитываемые статьи затрат на объект размещения (ОР) - ВЛ,  при вычислении  доли  включаемой в  цену услуги по размещению ВОКОС-ВЛ</t>
  </si>
  <si>
    <t>ПРЕЙСКУРАНТ</t>
  </si>
  <si>
    <t>на услугу "Размещение волоконно-оптических кабелей операторов связи на ВЛ ПАО "МРСК Северного Кавказа"  (ВОЛС-ВЛ)</t>
  </si>
  <si>
    <t>(для применения при заключении договоров на оказание услуги по размещению ВОЛС сторонних организаций на ВЛ ПАО "МРСК Северного Кавказа" )</t>
  </si>
  <si>
    <t>Средневзвешенные значения</t>
  </si>
  <si>
    <t>Количество опор на км</t>
  </si>
  <si>
    <t>Балансовая цена опор на 1 км ВЛ ( без затрат на провода) без НДС</t>
  </si>
  <si>
    <t>Амортизация 1 км в год без НДС</t>
  </si>
  <si>
    <t>Удельные затраты на расчистку 1 км трассы в год</t>
  </si>
  <si>
    <t xml:space="preserve">Удельные затраты на обслуживание опор на 1 км в год </t>
  </si>
  <si>
    <t>Затраты на подвеску ВОК за 1 км без НДС</t>
  </si>
  <si>
    <t>Затраты на снятие ВОК за 1 км без НДС (70% от затрат на подвес)</t>
  </si>
  <si>
    <t>Цена самонесушего кабеля за 1 км без НДС</t>
  </si>
  <si>
    <t>Доля включаемая в цену размещения ВОЛС-ВЛ равна 1/средневзвешенное количество подвесов (проводов+ВОК)</t>
  </si>
  <si>
    <t>Доля затрат на ВОЛС-ВЛ</t>
  </si>
  <si>
    <t>Учитываемые статьи затрат на объект размещения (ОР) - ВЛ,  при вычислении  доли  включаемой в цену услуги ВОЛС-ВЛ</t>
  </si>
  <si>
    <t xml:space="preserve">в том числе доля  ВОЛС-ВЛ </t>
  </si>
  <si>
    <t>Итого доля ВОЛС-ВЛ  ВОК от всех затрат по статье</t>
  </si>
  <si>
    <t>в год на км без НДС</t>
  </si>
  <si>
    <t>Доля затраты на обслуживание опор (осмотры, текущие ремонты), пропорционально относимые на размещение ВОЛС-ВЛ</t>
  </si>
  <si>
    <t>Доля затраты на АВР опор, пропорционально относимые на услугу по размещению ВОЛС-ВЛ</t>
  </si>
  <si>
    <t>2. Оценка бюджетных затрат, связанных с переподвеской ВОК при проведении модернизации и капитального ремонта ВЛ</t>
  </si>
  <si>
    <t>Дополнительные условия</t>
  </si>
  <si>
    <t>В случае реконструкции, капитального ремонта используемого имущества (части используемого имущества), повлекшего демонтаж линии связи Пользователя (части линии связи Пользователя), Собственник в разумный срок своими силами и за свой счет осуществит весь комплекс работ по созданию линии связи, аналогичной демонтированной, и передаст указанную линию в собственность Пользователя в качестве компенсации за причиненный ущерб.</t>
  </si>
  <si>
    <t>Общая протяженность вновь созданной линии связи Пользователя должна быть равна протяженности линии связи Пользователя до ее демонтажа с допустимой погрешностью до 5%.</t>
  </si>
  <si>
    <t>Средний % модернизации в год от общей протяженности ВЛ (или прогноз - для используемых ВЛ)</t>
  </si>
  <si>
    <t>Средний % капренмонта в год от общей протяженности ВЛ (или прогноз - для используемых ВЛ)</t>
  </si>
  <si>
    <t>Условия  платежа:</t>
  </si>
  <si>
    <t>Затраты  связанные с переподвеской ВОК при проведении модернизации и капитального ремонта ВЛ</t>
  </si>
  <si>
    <t>Итого расходы относимые на предоставление услуги размещения ВОЛС-ВЛ</t>
  </si>
  <si>
    <t>в мес на км без НДС</t>
  </si>
  <si>
    <t>ВЛ 35 кВ</t>
  </si>
  <si>
    <t>Исходные параметры ВЛ 35 кВ</t>
  </si>
  <si>
    <t>1. Оценка бюджетных затрат на объект размещения  (ВЛ 35 кВ), относимые  на услугу</t>
  </si>
  <si>
    <t>Параметры  ВЛ 35 кВ</t>
  </si>
  <si>
    <t>Общие затраты на ВЛ 35 кВ</t>
  </si>
  <si>
    <t>Общие затраты на ВЛ 35 кВ ДЗО</t>
  </si>
  <si>
    <t>ВЛ 110 кВ</t>
  </si>
  <si>
    <t>Исходные параметры ВЛ 110 кВ</t>
  </si>
  <si>
    <t>1. Оценка бюджетных затрат на объект размещения  (ВЛ 110 кВ), относимые  на услугу</t>
  </si>
  <si>
    <t>Общие затраты на ВЛ 110 кВ</t>
  </si>
  <si>
    <t>Общие затраты на ВЛ 110 кВ ДЗО</t>
  </si>
  <si>
    <t>3. Расчет бюджетной цены услуги размещения ВОЛС на ВЛ 110 кВ</t>
  </si>
  <si>
    <t>3. Расчет бюджетной цены услуги размещения ВОЛС на ВЛ 35 кВ</t>
  </si>
  <si>
    <t>Параметры  ВЛ 110 кВ</t>
  </si>
  <si>
    <t>СВОД</t>
  </si>
  <si>
    <t xml:space="preserve">Приложение к приказу  </t>
  </si>
  <si>
    <t>ПАО "МРСК Северного Кавказа"</t>
  </si>
  <si>
    <t>от 25.09.2018 № 599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</si>
</sst>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0\ &quot;₽&quot;"/>
    <numFmt numFmtId="166" formatCode="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Arial Narrow"/>
      <family val="2"/>
      <charset val="204"/>
    </font>
    <font>
      <sz val="10"/>
      <name val="Arial Narrow"/>
      <family val="2"/>
      <charset val="204"/>
    </font>
    <font>
      <sz val="10"/>
      <color rgb="FFFF0000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1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b/>
      <sz val="12"/>
      <color rgb="FFFF0000"/>
      <name val="Arial Narrow"/>
      <family val="2"/>
      <charset val="204"/>
    </font>
    <font>
      <sz val="14"/>
      <color rgb="FFFF0000"/>
      <name val="Arial Narrow"/>
      <family val="2"/>
      <charset val="204"/>
    </font>
    <font>
      <i/>
      <sz val="10"/>
      <name val="Arial Narrow"/>
      <family val="2"/>
      <charset val="204"/>
    </font>
    <font>
      <b/>
      <i/>
      <sz val="11"/>
      <name val="Arial Narrow"/>
      <family val="2"/>
      <charset val="204"/>
    </font>
    <font>
      <sz val="1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b/>
      <i/>
      <sz val="10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10"/>
      <color theme="0"/>
      <name val="Arial Narrow"/>
      <family val="2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</cellStyleXfs>
  <cellXfs count="164">
    <xf numFmtId="0" fontId="0" fillId="0" borderId="0" xfId="0"/>
    <xf numFmtId="0" fontId="6" fillId="0" borderId="0" xfId="2" applyFont="1"/>
    <xf numFmtId="0" fontId="7" fillId="0" borderId="0" xfId="2" applyFont="1"/>
    <xf numFmtId="0" fontId="6" fillId="0" borderId="0" xfId="2" applyFont="1" applyBorder="1"/>
    <xf numFmtId="0" fontId="9" fillId="0" borderId="0" xfId="2" applyFont="1"/>
    <xf numFmtId="0" fontId="5" fillId="0" borderId="0" xfId="2" applyFont="1" applyAlignment="1">
      <alignment horizontal="center" vertical="center"/>
    </xf>
    <xf numFmtId="0" fontId="10" fillId="0" borderId="0" xfId="2" applyFont="1"/>
    <xf numFmtId="0" fontId="11" fillId="0" borderId="0" xfId="0" applyFont="1"/>
    <xf numFmtId="0" fontId="12" fillId="0" borderId="0" xfId="0" applyFont="1"/>
    <xf numFmtId="49" fontId="13" fillId="0" borderId="9" xfId="0" applyNumberFormat="1" applyFont="1" applyFill="1" applyBorder="1" applyAlignment="1">
      <alignment horizontal="right" vertical="top" wrapText="1"/>
    </xf>
    <xf numFmtId="0" fontId="14" fillId="0" borderId="10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2" xfId="3" applyFont="1" applyFill="1" applyBorder="1"/>
    <xf numFmtId="166" fontId="14" fillId="2" borderId="2" xfId="0" applyNumberFormat="1" applyFont="1" applyFill="1" applyBorder="1"/>
    <xf numFmtId="166" fontId="15" fillId="5" borderId="11" xfId="0" applyNumberFormat="1" applyFont="1" applyFill="1" applyBorder="1"/>
    <xf numFmtId="0" fontId="15" fillId="0" borderId="0" xfId="0" applyFont="1"/>
    <xf numFmtId="0" fontId="14" fillId="0" borderId="14" xfId="3" applyFont="1" applyFill="1" applyBorder="1"/>
    <xf numFmtId="166" fontId="16" fillId="3" borderId="3" xfId="2" applyNumberFormat="1" applyFont="1" applyFill="1" applyBorder="1"/>
    <xf numFmtId="0" fontId="14" fillId="0" borderId="0" xfId="3" applyFont="1" applyFill="1" applyBorder="1"/>
    <xf numFmtId="166" fontId="12" fillId="2" borderId="0" xfId="0" applyNumberFormat="1" applyFont="1" applyFill="1" applyBorder="1"/>
    <xf numFmtId="0" fontId="17" fillId="0" borderId="10" xfId="3" applyFont="1" applyFill="1" applyBorder="1"/>
    <xf numFmtId="166" fontId="17" fillId="3" borderId="13" xfId="0" applyNumberFormat="1" applyFont="1" applyFill="1" applyBorder="1"/>
    <xf numFmtId="0" fontId="17" fillId="0" borderId="12" xfId="3" applyFont="1" applyFill="1" applyBorder="1"/>
    <xf numFmtId="165" fontId="17" fillId="6" borderId="2" xfId="0" applyNumberFormat="1" applyFont="1" applyFill="1" applyBorder="1"/>
    <xf numFmtId="4" fontId="18" fillId="0" borderId="1" xfId="0" applyNumberFormat="1" applyFont="1" applyBorder="1" applyAlignment="1">
      <alignment horizontal="right" vertical="top" wrapText="1"/>
    </xf>
    <xf numFmtId="0" fontId="19" fillId="0" borderId="0" xfId="0" applyFont="1"/>
    <xf numFmtId="165" fontId="14" fillId="0" borderId="3" xfId="0" applyNumberFormat="1" applyFont="1" applyFill="1" applyBorder="1"/>
    <xf numFmtId="165" fontId="14" fillId="3" borderId="0" xfId="0" applyNumberFormat="1" applyFont="1" applyFill="1" applyBorder="1"/>
    <xf numFmtId="0" fontId="14" fillId="0" borderId="10" xfId="3" applyFont="1" applyFill="1" applyBorder="1"/>
    <xf numFmtId="165" fontId="14" fillId="3" borderId="13" xfId="0" applyNumberFormat="1" applyFont="1" applyFill="1" applyBorder="1"/>
    <xf numFmtId="0" fontId="12" fillId="0" borderId="0" xfId="0" applyFont="1" applyAlignment="1">
      <alignment horizontal="center"/>
    </xf>
    <xf numFmtId="0" fontId="16" fillId="0" borderId="12" xfId="3" applyFont="1" applyFill="1" applyBorder="1"/>
    <xf numFmtId="165" fontId="14" fillId="3" borderId="2" xfId="0" applyNumberFormat="1" applyFont="1" applyFill="1" applyBorder="1"/>
    <xf numFmtId="0" fontId="16" fillId="0" borderId="14" xfId="3" applyFont="1" applyFill="1" applyBorder="1"/>
    <xf numFmtId="165" fontId="14" fillId="3" borderId="3" xfId="0" applyNumberFormat="1" applyFont="1" applyFill="1" applyBorder="1"/>
    <xf numFmtId="164" fontId="12" fillId="0" borderId="0" xfId="0" applyNumberFormat="1" applyFont="1" applyAlignment="1">
      <alignment horizontal="center"/>
    </xf>
    <xf numFmtId="0" fontId="16" fillId="0" borderId="0" xfId="3" applyFont="1" applyFill="1" applyBorder="1"/>
    <xf numFmtId="165" fontId="14" fillId="0" borderId="0" xfId="0" applyNumberFormat="1" applyFont="1" applyFill="1" applyBorder="1"/>
    <xf numFmtId="0" fontId="20" fillId="0" borderId="10" xfId="2" applyFont="1" applyBorder="1"/>
    <xf numFmtId="165" fontId="21" fillId="3" borderId="13" xfId="2" applyNumberFormat="1" applyFont="1" applyFill="1" applyBorder="1"/>
    <xf numFmtId="0" fontId="20" fillId="0" borderId="12" xfId="2" applyFont="1" applyBorder="1"/>
    <xf numFmtId="165" fontId="21" fillId="0" borderId="2" xfId="2" applyNumberFormat="1" applyFont="1" applyFill="1" applyBorder="1"/>
    <xf numFmtId="165" fontId="6" fillId="0" borderId="0" xfId="2" applyNumberFormat="1" applyFont="1"/>
    <xf numFmtId="165" fontId="21" fillId="3" borderId="2" xfId="2" applyNumberFormat="1" applyFont="1" applyFill="1" applyBorder="1"/>
    <xf numFmtId="0" fontId="20" fillId="0" borderId="14" xfId="2" applyFont="1" applyFill="1" applyBorder="1" applyAlignment="1">
      <alignment horizontal="left" vertical="center" wrapText="1"/>
    </xf>
    <xf numFmtId="165" fontId="21" fillId="3" borderId="3" xfId="2" applyNumberFormat="1" applyFont="1" applyFill="1" applyBorder="1"/>
    <xf numFmtId="0" fontId="6" fillId="0" borderId="0" xfId="2" applyFont="1" applyFill="1" applyBorder="1" applyAlignment="1">
      <alignment horizontal="left" vertical="center" wrapText="1"/>
    </xf>
    <xf numFmtId="165" fontId="22" fillId="0" borderId="8" xfId="2" applyNumberFormat="1" applyFont="1" applyFill="1" applyBorder="1"/>
    <xf numFmtId="0" fontId="6" fillId="0" borderId="10" xfId="2" applyFont="1" applyFill="1" applyBorder="1" applyAlignment="1">
      <alignment horizontal="left" vertical="center" wrapText="1"/>
    </xf>
    <xf numFmtId="10" fontId="12" fillId="3" borderId="13" xfId="0" applyNumberFormat="1" applyFont="1" applyFill="1" applyBorder="1" applyAlignment="1">
      <alignment vertical="center"/>
    </xf>
    <xf numFmtId="0" fontId="6" fillId="0" borderId="14" xfId="2" applyFont="1" applyFill="1" applyBorder="1" applyAlignment="1">
      <alignment horizontal="left" vertical="center" wrapText="1"/>
    </xf>
    <xf numFmtId="10" fontId="12" fillId="3" borderId="3" xfId="0" applyNumberFormat="1" applyFont="1" applyFill="1" applyBorder="1" applyAlignment="1">
      <alignment vertical="center"/>
    </xf>
    <xf numFmtId="0" fontId="6" fillId="0" borderId="17" xfId="2" applyFont="1" applyFill="1" applyBorder="1" applyAlignment="1">
      <alignment horizontal="left" vertical="center" wrapText="1"/>
    </xf>
    <xf numFmtId="9" fontId="22" fillId="0" borderId="0" xfId="2" applyNumberFormat="1" applyFont="1" applyBorder="1" applyAlignment="1">
      <alignment horizontal="center" vertical="center"/>
    </xf>
    <xf numFmtId="164" fontId="6" fillId="0" borderId="0" xfId="1" applyNumberFormat="1" applyFont="1" applyBorder="1"/>
    <xf numFmtId="164" fontId="6" fillId="0" borderId="0" xfId="2" applyNumberFormat="1" applyFont="1" applyBorder="1"/>
    <xf numFmtId="0" fontId="6" fillId="0" borderId="0" xfId="2" applyFont="1" applyFill="1" applyBorder="1" applyAlignment="1">
      <alignment horizontal="left" vertical="center"/>
    </xf>
    <xf numFmtId="9" fontId="16" fillId="3" borderId="13" xfId="2" applyNumberFormat="1" applyFont="1" applyFill="1" applyBorder="1" applyAlignment="1">
      <alignment horizontal="right" vertical="center"/>
    </xf>
    <xf numFmtId="0" fontId="6" fillId="0" borderId="12" xfId="2" applyFont="1" applyFill="1" applyBorder="1" applyAlignment="1">
      <alignment horizontal="left" vertical="center" wrapText="1"/>
    </xf>
    <xf numFmtId="9" fontId="16" fillId="3" borderId="2" xfId="2" applyNumberFormat="1" applyFont="1" applyFill="1" applyBorder="1" applyAlignment="1">
      <alignment horizontal="right" vertical="center"/>
    </xf>
    <xf numFmtId="9" fontId="16" fillId="3" borderId="3" xfId="2" applyNumberFormat="1" applyFont="1" applyFill="1" applyBorder="1" applyAlignment="1">
      <alignment horizontal="right" vertical="center"/>
    </xf>
    <xf numFmtId="0" fontId="6" fillId="0" borderId="19" xfId="2" applyFont="1" applyFill="1" applyBorder="1" applyAlignment="1">
      <alignment horizontal="left" vertical="center" wrapText="1"/>
    </xf>
    <xf numFmtId="9" fontId="23" fillId="3" borderId="21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9" fillId="0" borderId="0" xfId="2" applyFont="1" applyFill="1" applyBorder="1"/>
    <xf numFmtId="0" fontId="6" fillId="0" borderId="0" xfId="2" applyFont="1" applyFill="1" applyBorder="1"/>
    <xf numFmtId="3" fontId="6" fillId="0" borderId="0" xfId="2" applyNumberFormat="1" applyFont="1" applyBorder="1" applyAlignment="1">
      <alignment horizontal="center" vertical="center"/>
    </xf>
    <xf numFmtId="9" fontId="6" fillId="0" borderId="0" xfId="2" applyNumberFormat="1" applyFont="1" applyBorder="1" applyAlignment="1">
      <alignment horizontal="center" vertical="center"/>
    </xf>
    <xf numFmtId="0" fontId="20" fillId="0" borderId="0" xfId="2" applyFont="1" applyBorder="1" applyAlignment="1">
      <alignment horizontal="left" vertical="center"/>
    </xf>
    <xf numFmtId="0" fontId="10" fillId="0" borderId="0" xfId="2" applyFont="1" applyFill="1" applyBorder="1" applyAlignment="1">
      <alignment horizontal="left" vertical="center"/>
    </xf>
    <xf numFmtId="0" fontId="24" fillId="0" borderId="0" xfId="2" applyFont="1" applyBorder="1"/>
    <xf numFmtId="0" fontId="24" fillId="0" borderId="10" xfId="2" applyFont="1" applyBorder="1"/>
    <xf numFmtId="0" fontId="6" fillId="3" borderId="13" xfId="2" applyFont="1" applyFill="1" applyBorder="1"/>
    <xf numFmtId="0" fontId="10" fillId="0" borderId="14" xfId="2" applyFont="1" applyBorder="1"/>
    <xf numFmtId="2" fontId="10" fillId="0" borderId="3" xfId="2" applyNumberFormat="1" applyFont="1" applyFill="1" applyBorder="1"/>
    <xf numFmtId="0" fontId="6" fillId="0" borderId="7" xfId="2" applyFont="1" applyBorder="1"/>
    <xf numFmtId="166" fontId="10" fillId="0" borderId="0" xfId="2" applyNumberFormat="1" applyFont="1" applyFill="1" applyBorder="1"/>
    <xf numFmtId="0" fontId="10" fillId="0" borderId="10" xfId="2" applyFont="1" applyBorder="1" applyAlignment="1">
      <alignment vertical="center"/>
    </xf>
    <xf numFmtId="0" fontId="10" fillId="0" borderId="11" xfId="2" applyFont="1" applyFill="1" applyBorder="1" applyAlignment="1">
      <alignment vertical="center"/>
    </xf>
    <xf numFmtId="0" fontId="6" fillId="0" borderId="11" xfId="2" applyFont="1" applyBorder="1" applyAlignment="1">
      <alignment vertical="center"/>
    </xf>
    <xf numFmtId="0" fontId="10" fillId="0" borderId="12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9" fontId="20" fillId="0" borderId="1" xfId="2" applyNumberFormat="1" applyFont="1" applyBorder="1" applyAlignment="1">
      <alignment horizontal="center" vertical="center"/>
    </xf>
    <xf numFmtId="164" fontId="20" fillId="0" borderId="1" xfId="1" applyNumberFormat="1" applyFont="1" applyBorder="1" applyAlignment="1">
      <alignment horizontal="center" vertical="center"/>
    </xf>
    <xf numFmtId="164" fontId="10" fillId="0" borderId="1" xfId="2" applyNumberFormat="1" applyFont="1" applyBorder="1" applyAlignment="1">
      <alignment horizontal="center" vertical="center"/>
    </xf>
    <xf numFmtId="165" fontId="6" fillId="0" borderId="1" xfId="2" applyNumberFormat="1" applyFont="1" applyFill="1" applyBorder="1" applyAlignment="1">
      <alignment vertical="center"/>
    </xf>
    <xf numFmtId="165" fontId="6" fillId="0" borderId="2" xfId="2" applyNumberFormat="1" applyFont="1" applyFill="1" applyBorder="1" applyAlignment="1">
      <alignment vertical="center"/>
    </xf>
    <xf numFmtId="0" fontId="6" fillId="0" borderId="18" xfId="2" applyFont="1" applyFill="1" applyBorder="1" applyAlignment="1">
      <alignment horizontal="left" vertical="center" wrapText="1"/>
    </xf>
    <xf numFmtId="9" fontId="20" fillId="0" borderId="4" xfId="2" applyNumberFormat="1" applyFont="1" applyBorder="1" applyAlignment="1">
      <alignment horizontal="center" vertical="center"/>
    </xf>
    <xf numFmtId="164" fontId="20" fillId="0" borderId="4" xfId="1" applyNumberFormat="1" applyFont="1" applyBorder="1" applyAlignment="1">
      <alignment horizontal="center" vertical="center"/>
    </xf>
    <xf numFmtId="164" fontId="10" fillId="0" borderId="4" xfId="2" applyNumberFormat="1" applyFont="1" applyBorder="1" applyAlignment="1">
      <alignment horizontal="center" vertical="center"/>
    </xf>
    <xf numFmtId="165" fontId="6" fillId="0" borderId="4" xfId="2" applyNumberFormat="1" applyFont="1" applyFill="1" applyBorder="1" applyAlignment="1">
      <alignment vertical="center"/>
    </xf>
    <xf numFmtId="165" fontId="6" fillId="0" borderId="16" xfId="2" applyNumberFormat="1" applyFont="1" applyFill="1" applyBorder="1" applyAlignment="1">
      <alignment vertical="center"/>
    </xf>
    <xf numFmtId="0" fontId="9" fillId="0" borderId="0" xfId="2" applyFont="1" applyFill="1"/>
    <xf numFmtId="0" fontId="20" fillId="0" borderId="10" xfId="2" applyFont="1" applyBorder="1" applyAlignment="1">
      <alignment vertical="center"/>
    </xf>
    <xf numFmtId="165" fontId="20" fillId="0" borderId="13" xfId="2" applyNumberFormat="1" applyFont="1" applyFill="1" applyBorder="1" applyAlignment="1">
      <alignment vertical="center"/>
    </xf>
    <xf numFmtId="0" fontId="20" fillId="0" borderId="12" xfId="2" applyFont="1" applyBorder="1" applyAlignment="1">
      <alignment vertical="center"/>
    </xf>
    <xf numFmtId="165" fontId="20" fillId="0" borderId="2" xfId="2" applyNumberFormat="1" applyFont="1" applyFill="1" applyBorder="1" applyAlignment="1">
      <alignment vertical="center"/>
    </xf>
    <xf numFmtId="0" fontId="10" fillId="0" borderId="12" xfId="2" applyFont="1" applyBorder="1" applyAlignment="1">
      <alignment horizontal="right" vertical="center"/>
    </xf>
    <xf numFmtId="165" fontId="10" fillId="0" borderId="2" xfId="2" applyNumberFormat="1" applyFont="1" applyFill="1" applyBorder="1" applyAlignment="1">
      <alignment vertical="center"/>
    </xf>
    <xf numFmtId="9" fontId="10" fillId="4" borderId="2" xfId="2" applyNumberFormat="1" applyFont="1" applyFill="1" applyBorder="1" applyAlignment="1">
      <alignment vertical="center"/>
    </xf>
    <xf numFmtId="0" fontId="20" fillId="0" borderId="12" xfId="2" applyFont="1" applyFill="1" applyBorder="1" applyAlignment="1">
      <alignment horizontal="left" vertical="center" wrapText="1"/>
    </xf>
    <xf numFmtId="0" fontId="10" fillId="0" borderId="12" xfId="2" applyFont="1" applyFill="1" applyBorder="1" applyAlignment="1">
      <alignment horizontal="right" vertical="center" wrapText="1"/>
    </xf>
    <xf numFmtId="0" fontId="10" fillId="0" borderId="14" xfId="2" applyFont="1" applyFill="1" applyBorder="1" applyAlignment="1">
      <alignment horizontal="left" vertical="center" wrapText="1"/>
    </xf>
    <xf numFmtId="165" fontId="10" fillId="0" borderId="3" xfId="2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horizontal="left" vertical="center" wrapText="1"/>
    </xf>
    <xf numFmtId="165" fontId="16" fillId="0" borderId="0" xfId="2" applyNumberFormat="1" applyFont="1" applyFill="1" applyBorder="1"/>
    <xf numFmtId="10" fontId="6" fillId="0" borderId="13" xfId="2" applyNumberFormat="1" applyFont="1" applyBorder="1" applyAlignment="1">
      <alignment vertical="center"/>
    </xf>
    <xf numFmtId="10" fontId="6" fillId="0" borderId="3" xfId="2" applyNumberFormat="1" applyFont="1" applyBorder="1" applyAlignment="1">
      <alignment vertical="center"/>
    </xf>
    <xf numFmtId="10" fontId="6" fillId="0" borderId="0" xfId="2" applyNumberFormat="1" applyFont="1" applyBorder="1"/>
    <xf numFmtId="0" fontId="9" fillId="0" borderId="10" xfId="2" applyFont="1" applyBorder="1" applyAlignment="1">
      <alignment vertical="center"/>
    </xf>
    <xf numFmtId="165" fontId="10" fillId="0" borderId="1" xfId="2" applyNumberFormat="1" applyFont="1" applyFill="1" applyBorder="1" applyAlignment="1">
      <alignment horizontal="right" vertical="center" wrapText="1"/>
    </xf>
    <xf numFmtId="165" fontId="10" fillId="0" borderId="2" xfId="2" applyNumberFormat="1" applyFont="1" applyFill="1" applyBorder="1" applyAlignment="1">
      <alignment horizontal="right" vertical="center" wrapText="1"/>
    </xf>
    <xf numFmtId="9" fontId="6" fillId="0" borderId="0" xfId="2" applyNumberFormat="1" applyFont="1"/>
    <xf numFmtId="165" fontId="10" fillId="0" borderId="1" xfId="2" applyNumberFormat="1" applyFont="1" applyFill="1" applyBorder="1" applyAlignment="1">
      <alignment horizontal="right" vertical="center"/>
    </xf>
    <xf numFmtId="165" fontId="10" fillId="0" borderId="2" xfId="2" applyNumberFormat="1" applyFont="1" applyFill="1" applyBorder="1" applyAlignment="1">
      <alignment horizontal="right" vertical="center"/>
    </xf>
    <xf numFmtId="0" fontId="6" fillId="0" borderId="12" xfId="2" applyFont="1" applyFill="1" applyBorder="1" applyAlignment="1">
      <alignment horizontal="right" vertical="center" wrapText="1"/>
    </xf>
    <xf numFmtId="165" fontId="6" fillId="0" borderId="1" xfId="2" applyNumberFormat="1" applyFont="1" applyFill="1" applyBorder="1" applyAlignment="1">
      <alignment horizontal="right" vertical="center"/>
    </xf>
    <xf numFmtId="165" fontId="6" fillId="0" borderId="2" xfId="2" applyNumberFormat="1" applyFont="1" applyFill="1" applyBorder="1" applyAlignment="1">
      <alignment horizontal="right" vertical="center"/>
    </xf>
    <xf numFmtId="0" fontId="6" fillId="0" borderId="10" xfId="2" applyFont="1" applyBorder="1" applyAlignment="1">
      <alignment vertical="center"/>
    </xf>
    <xf numFmtId="0" fontId="10" fillId="0" borderId="11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right" vertical="center" wrapText="1"/>
    </xf>
    <xf numFmtId="9" fontId="8" fillId="0" borderId="5" xfId="2" applyNumberFormat="1" applyFont="1" applyBorder="1" applyAlignment="1">
      <alignment horizontal="center" vertical="center"/>
    </xf>
    <xf numFmtId="164" fontId="8" fillId="0" borderId="5" xfId="1" applyNumberFormat="1" applyFont="1" applyBorder="1" applyAlignment="1">
      <alignment horizontal="center" vertical="center"/>
    </xf>
    <xf numFmtId="164" fontId="8" fillId="0" borderId="5" xfId="2" applyNumberFormat="1" applyFont="1" applyBorder="1" applyAlignment="1">
      <alignment horizontal="center" vertical="center"/>
    </xf>
    <xf numFmtId="165" fontId="9" fillId="0" borderId="5" xfId="2" applyNumberFormat="1" applyFont="1" applyFill="1" applyBorder="1" applyAlignment="1">
      <alignment vertical="center"/>
    </xf>
    <xf numFmtId="165" fontId="9" fillId="0" borderId="6" xfId="2" applyNumberFormat="1" applyFont="1" applyFill="1" applyBorder="1" applyAlignment="1">
      <alignment vertical="center"/>
    </xf>
    <xf numFmtId="9" fontId="9" fillId="0" borderId="5" xfId="2" applyNumberFormat="1" applyFont="1" applyBorder="1" applyAlignment="1">
      <alignment horizontal="center" vertical="center"/>
    </xf>
    <xf numFmtId="164" fontId="9" fillId="0" borderId="5" xfId="1" applyNumberFormat="1" applyFont="1" applyBorder="1" applyAlignment="1">
      <alignment horizontal="center" vertical="center"/>
    </xf>
    <xf numFmtId="164" fontId="9" fillId="0" borderId="5" xfId="2" applyNumberFormat="1" applyFont="1" applyBorder="1" applyAlignment="1">
      <alignment horizontal="center" vertical="center"/>
    </xf>
    <xf numFmtId="0" fontId="9" fillId="2" borderId="14" xfId="2" applyFont="1" applyFill="1" applyBorder="1" applyAlignment="1">
      <alignment horizontal="left" vertical="center"/>
    </xf>
    <xf numFmtId="165" fontId="9" fillId="2" borderId="20" xfId="2" applyNumberFormat="1" applyFont="1" applyFill="1" applyBorder="1" applyAlignment="1">
      <alignment horizontal="right" vertical="center"/>
    </xf>
    <xf numFmtId="165" fontId="9" fillId="2" borderId="3" xfId="2" applyNumberFormat="1" applyFont="1" applyFill="1" applyBorder="1" applyAlignment="1">
      <alignment horizontal="right" vertical="center"/>
    </xf>
    <xf numFmtId="165" fontId="9" fillId="2" borderId="20" xfId="2" applyNumberFormat="1" applyFont="1" applyFill="1" applyBorder="1" applyAlignment="1">
      <alignment vertical="center"/>
    </xf>
    <xf numFmtId="165" fontId="9" fillId="2" borderId="3" xfId="2" applyNumberFormat="1" applyFont="1" applyFill="1" applyBorder="1" applyAlignment="1">
      <alignment vertical="center"/>
    </xf>
    <xf numFmtId="3" fontId="18" fillId="0" borderId="0" xfId="0" applyNumberFormat="1" applyFont="1"/>
    <xf numFmtId="0" fontId="25" fillId="0" borderId="0" xfId="0" applyFont="1"/>
    <xf numFmtId="164" fontId="12" fillId="0" borderId="0" xfId="0" applyNumberFormat="1" applyFont="1"/>
    <xf numFmtId="10" fontId="15" fillId="5" borderId="11" xfId="0" applyNumberFormat="1" applyFont="1" applyFill="1" applyBorder="1"/>
    <xf numFmtId="9" fontId="23" fillId="3" borderId="3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right" vertical="top" wrapText="1"/>
    </xf>
    <xf numFmtId="165" fontId="21" fillId="0" borderId="0" xfId="2" applyNumberFormat="1" applyFont="1" applyFill="1" applyBorder="1"/>
    <xf numFmtId="0" fontId="10" fillId="0" borderId="0" xfId="2" applyFont="1" applyBorder="1"/>
    <xf numFmtId="2" fontId="10" fillId="0" borderId="0" xfId="2" applyNumberFormat="1" applyFont="1" applyFill="1" applyBorder="1"/>
    <xf numFmtId="0" fontId="16" fillId="0" borderId="0" xfId="2" applyFont="1"/>
    <xf numFmtId="0" fontId="22" fillId="0" borderId="0" xfId="2" applyFont="1" applyFill="1" applyBorder="1" applyAlignment="1">
      <alignment horizontal="left" vertical="center" wrapText="1"/>
    </xf>
    <xf numFmtId="9" fontId="26" fillId="0" borderId="0" xfId="2" applyNumberFormat="1" applyFont="1"/>
    <xf numFmtId="0" fontId="26" fillId="0" borderId="0" xfId="2" applyFont="1"/>
    <xf numFmtId="0" fontId="20" fillId="0" borderId="1" xfId="2" applyFont="1" applyBorder="1"/>
    <xf numFmtId="165" fontId="17" fillId="0" borderId="1" xfId="0" applyNumberFormat="1" applyFont="1" applyFill="1" applyBorder="1"/>
    <xf numFmtId="0" fontId="20" fillId="0" borderId="1" xfId="2" applyFont="1" applyBorder="1" applyAlignment="1">
      <alignment horizontal="right"/>
    </xf>
    <xf numFmtId="0" fontId="21" fillId="0" borderId="1" xfId="2" applyFont="1" applyBorder="1"/>
    <xf numFmtId="0" fontId="16" fillId="0" borderId="1" xfId="2" applyFont="1" applyBorder="1" applyAlignment="1">
      <alignment horizontal="center" vertical="center"/>
    </xf>
    <xf numFmtId="0" fontId="14" fillId="0" borderId="0" xfId="0" applyFont="1"/>
    <xf numFmtId="0" fontId="10" fillId="0" borderId="11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 wrapText="1"/>
    </xf>
    <xf numFmtId="0" fontId="27" fillId="0" borderId="0" xfId="2" applyFont="1" applyAlignment="1">
      <alignment horizontal="left" wrapText="1"/>
    </xf>
    <xf numFmtId="0" fontId="8" fillId="0" borderId="0" xfId="2" applyFont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0" xfId="2" applyFont="1" applyBorder="1" applyAlignment="1">
      <alignment horizontal="left" vertical="center" wrapText="1"/>
    </xf>
  </cellXfs>
  <cellStyles count="8">
    <cellStyle name="Excel Built-in Normal" xfId="6"/>
    <cellStyle name="Обычный" xfId="0" builtinId="0"/>
    <cellStyle name="Обычный 2" xfId="2"/>
    <cellStyle name="Обычный 2 2" xfId="7"/>
    <cellStyle name="Обычный 3" xfId="5"/>
    <cellStyle name="Обычный 8" xfId="3"/>
    <cellStyle name="Процентный" xfId="1" builtinId="5"/>
    <cellStyle name="Процент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L104"/>
  <sheetViews>
    <sheetView view="pageBreakPreview" zoomScale="85" zoomScaleNormal="78" zoomScaleSheetLayoutView="85" workbookViewId="0">
      <pane xSplit="3" ySplit="15" topLeftCell="D109" activePane="bottomRight" state="frozen"/>
      <selection activeCell="D98" sqref="D98"/>
      <selection pane="topRight" activeCell="D98" sqref="D98"/>
      <selection pane="bottomLeft" activeCell="D98" sqref="D98"/>
      <selection pane="bottomRight" activeCell="M20" sqref="K20:M20"/>
    </sheetView>
  </sheetViews>
  <sheetFormatPr defaultColWidth="9.140625" defaultRowHeight="12.75" outlineLevelRow="1" x14ac:dyDescent="0.2"/>
  <cols>
    <col min="1" max="1" width="3.85546875" style="1" customWidth="1"/>
    <col min="2" max="2" width="5.42578125" style="1" customWidth="1"/>
    <col min="3" max="3" width="68.5703125" style="1" customWidth="1"/>
    <col min="4" max="10" width="15.7109375" style="1" customWidth="1"/>
    <col min="11" max="14" width="15" style="1" customWidth="1"/>
    <col min="15" max="15" width="15.5703125" style="1" customWidth="1"/>
    <col min="16" max="16" width="16.5703125" style="1" customWidth="1"/>
    <col min="17" max="19" width="15" style="1" customWidth="1"/>
    <col min="20" max="20" width="17" style="1" customWidth="1"/>
    <col min="21" max="27" width="15.42578125" style="1" customWidth="1"/>
    <col min="28" max="28" width="16.5703125" style="1" customWidth="1"/>
    <col min="29" max="29" width="17.42578125" style="1" customWidth="1"/>
    <col min="30" max="30" width="17.140625" style="1" customWidth="1"/>
    <col min="31" max="31" width="17.42578125" style="1" customWidth="1"/>
    <col min="32" max="32" width="16.7109375" style="1" customWidth="1"/>
    <col min="33" max="33" width="17.42578125" style="1" customWidth="1"/>
    <col min="34" max="34" width="17.28515625" style="1" customWidth="1"/>
    <col min="35" max="35" width="18.140625" style="1" customWidth="1"/>
    <col min="36" max="36" width="16.28515625" style="1" customWidth="1"/>
    <col min="37" max="16384" width="9.140625" style="1"/>
  </cols>
  <sheetData>
    <row r="2" spans="1:12" ht="15.75" x14ac:dyDescent="0.25">
      <c r="H2" s="160" t="s">
        <v>126</v>
      </c>
      <c r="I2" s="160"/>
      <c r="J2" s="160"/>
    </row>
    <row r="3" spans="1:12" ht="15.75" x14ac:dyDescent="0.25">
      <c r="H3" s="160" t="s">
        <v>127</v>
      </c>
      <c r="I3" s="160"/>
      <c r="J3" s="160"/>
    </row>
    <row r="4" spans="1:12" ht="15.75" x14ac:dyDescent="0.25">
      <c r="H4" s="160" t="s">
        <v>128</v>
      </c>
      <c r="I4" s="160"/>
      <c r="J4" s="160"/>
    </row>
    <row r="7" spans="1:12" ht="18" x14ac:dyDescent="0.25">
      <c r="A7" s="162" t="s">
        <v>81</v>
      </c>
      <c r="B7" s="162"/>
      <c r="C7" s="162"/>
      <c r="D7" s="162"/>
      <c r="E7" s="162"/>
      <c r="F7" s="162"/>
      <c r="G7" s="162"/>
      <c r="H7" s="162"/>
      <c r="I7" s="162"/>
      <c r="J7" s="162"/>
    </row>
    <row r="8" spans="1:12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2" ht="18" x14ac:dyDescent="0.25">
      <c r="A9" s="162" t="s">
        <v>82</v>
      </c>
      <c r="B9" s="162"/>
      <c r="C9" s="162"/>
      <c r="D9" s="162"/>
      <c r="E9" s="162"/>
      <c r="F9" s="162"/>
      <c r="G9" s="162"/>
      <c r="H9" s="162"/>
      <c r="I9" s="162"/>
      <c r="J9" s="162"/>
    </row>
    <row r="10" spans="1:12" ht="15" customHeight="1" x14ac:dyDescent="0.2">
      <c r="B10" s="3"/>
      <c r="C10" s="161" t="s">
        <v>83</v>
      </c>
      <c r="D10" s="161"/>
      <c r="E10" s="161"/>
      <c r="F10" s="161"/>
      <c r="G10" s="161"/>
      <c r="H10" s="161"/>
      <c r="I10" s="161"/>
      <c r="J10" s="161"/>
    </row>
    <row r="11" spans="1:12" ht="18" x14ac:dyDescent="0.25">
      <c r="A11" s="4" t="s">
        <v>43</v>
      </c>
      <c r="C11" s="5" t="s">
        <v>66</v>
      </c>
    </row>
    <row r="12" spans="1:12" ht="18" x14ac:dyDescent="0.25">
      <c r="A12" s="4"/>
      <c r="C12" s="5" t="s">
        <v>60</v>
      </c>
    </row>
    <row r="13" spans="1:12" ht="15.75" x14ac:dyDescent="0.25">
      <c r="A13" s="6"/>
      <c r="B13" s="4" t="s">
        <v>64</v>
      </c>
      <c r="C13" s="4"/>
    </row>
    <row r="14" spans="1:12" s="8" customFormat="1" ht="10.5" customHeight="1" thickBot="1" x14ac:dyDescent="0.35">
      <c r="A14" s="7"/>
      <c r="B14" s="1"/>
      <c r="C14" s="1"/>
      <c r="D14" s="1"/>
    </row>
    <row r="15" spans="1:12" s="8" customFormat="1" ht="50.25" customHeight="1" thickBot="1" x14ac:dyDescent="0.35">
      <c r="B15" s="1"/>
      <c r="C15" s="10" t="s">
        <v>65</v>
      </c>
      <c r="D15" s="11" t="s">
        <v>46</v>
      </c>
    </row>
    <row r="16" spans="1:12" s="8" customFormat="1" ht="16.5" x14ac:dyDescent="0.3">
      <c r="A16" s="1"/>
      <c r="B16" s="1"/>
      <c r="C16" s="12" t="s">
        <v>28</v>
      </c>
      <c r="D16" s="13">
        <v>4</v>
      </c>
      <c r="F16" s="1"/>
      <c r="K16" s="14"/>
      <c r="L16" s="15"/>
    </row>
    <row r="17" spans="1:12" s="8" customFormat="1" ht="17.25" thickBot="1" x14ac:dyDescent="0.35">
      <c r="B17" s="1"/>
      <c r="C17" s="16" t="s">
        <v>27</v>
      </c>
      <c r="D17" s="17">
        <v>32</v>
      </c>
    </row>
    <row r="18" spans="1:12" s="8" customFormat="1" ht="5.25" customHeight="1" thickBot="1" x14ac:dyDescent="0.35">
      <c r="B18" s="1"/>
      <c r="C18" s="18"/>
      <c r="D18" s="19"/>
    </row>
    <row r="19" spans="1:12" s="8" customFormat="1" ht="16.5" x14ac:dyDescent="0.3">
      <c r="B19" s="1"/>
      <c r="C19" s="20" t="s">
        <v>26</v>
      </c>
      <c r="D19" s="21">
        <v>40</v>
      </c>
    </row>
    <row r="20" spans="1:12" s="8" customFormat="1" ht="18.75" x14ac:dyDescent="0.3">
      <c r="B20" s="1"/>
      <c r="C20" s="22" t="s">
        <v>29</v>
      </c>
      <c r="D20" s="23">
        <f>729727.161016949*1.18</f>
        <v>861078.04999999981</v>
      </c>
      <c r="K20" s="24"/>
      <c r="L20" s="25"/>
    </row>
    <row r="21" spans="1:12" s="8" customFormat="1" ht="17.25" thickBot="1" x14ac:dyDescent="0.35">
      <c r="A21" s="7"/>
      <c r="B21" s="1"/>
      <c r="C21" s="16" t="s">
        <v>30</v>
      </c>
      <c r="D21" s="26">
        <f>D20/D19</f>
        <v>21526.951249999995</v>
      </c>
    </row>
    <row r="22" spans="1:12" s="8" customFormat="1" ht="3.75" customHeight="1" thickBot="1" x14ac:dyDescent="0.35">
      <c r="A22" s="7"/>
      <c r="B22" s="1"/>
      <c r="C22" s="18"/>
      <c r="D22" s="27"/>
    </row>
    <row r="23" spans="1:12" s="8" customFormat="1" ht="16.5" x14ac:dyDescent="0.3">
      <c r="A23" s="7"/>
      <c r="B23" s="1"/>
      <c r="C23" s="28" t="s">
        <v>0</v>
      </c>
      <c r="D23" s="29">
        <v>4196.7998980047178</v>
      </c>
      <c r="E23" s="30"/>
    </row>
    <row r="24" spans="1:12" s="8" customFormat="1" ht="16.5" x14ac:dyDescent="0.3">
      <c r="A24" s="7"/>
      <c r="B24" s="1"/>
      <c r="C24" s="31" t="s">
        <v>2</v>
      </c>
      <c r="D24" s="32">
        <v>28171.206837039357</v>
      </c>
    </row>
    <row r="25" spans="1:12" s="8" customFormat="1" ht="17.25" thickBot="1" x14ac:dyDescent="0.35">
      <c r="A25" s="7"/>
      <c r="B25" s="1"/>
      <c r="C25" s="33" t="s">
        <v>1</v>
      </c>
      <c r="D25" s="34">
        <v>1507.9775100667416</v>
      </c>
      <c r="E25" s="35"/>
    </row>
    <row r="26" spans="1:12" s="8" customFormat="1" ht="17.25" thickBot="1" x14ac:dyDescent="0.35">
      <c r="A26" s="7"/>
      <c r="B26" s="1"/>
      <c r="C26" s="36"/>
      <c r="D26" s="37"/>
    </row>
    <row r="27" spans="1:12" ht="16.5" x14ac:dyDescent="0.3">
      <c r="C27" s="38" t="s">
        <v>44</v>
      </c>
      <c r="D27" s="39">
        <v>114382.2646299747</v>
      </c>
    </row>
    <row r="28" spans="1:12" ht="16.5" x14ac:dyDescent="0.3">
      <c r="C28" s="40" t="s">
        <v>45</v>
      </c>
      <c r="D28" s="41">
        <f>D27*0.7</f>
        <v>80067.585240982284</v>
      </c>
      <c r="E28" s="42"/>
    </row>
    <row r="29" spans="1:12" ht="16.5" x14ac:dyDescent="0.3">
      <c r="C29" s="40" t="s">
        <v>40</v>
      </c>
      <c r="D29" s="43">
        <v>30000</v>
      </c>
      <c r="E29" s="42"/>
    </row>
    <row r="30" spans="1:12" ht="17.25" thickBot="1" x14ac:dyDescent="0.35">
      <c r="C30" s="44" t="s">
        <v>36</v>
      </c>
      <c r="D30" s="45">
        <v>65000</v>
      </c>
    </row>
    <row r="31" spans="1:12" ht="17.25" thickBot="1" x14ac:dyDescent="0.35">
      <c r="C31" s="46"/>
      <c r="D31" s="47"/>
    </row>
    <row r="32" spans="1:12" ht="25.5" x14ac:dyDescent="0.2">
      <c r="C32" s="48" t="s">
        <v>24</v>
      </c>
      <c r="D32" s="49">
        <v>1.1132917800840789E-2</v>
      </c>
    </row>
    <row r="33" spans="1:8" ht="26.25" thickBot="1" x14ac:dyDescent="0.25">
      <c r="C33" s="50" t="s">
        <v>25</v>
      </c>
      <c r="D33" s="51">
        <v>0.1</v>
      </c>
    </row>
    <row r="34" spans="1:8" s="8" customFormat="1" ht="16.5" x14ac:dyDescent="0.3">
      <c r="A34" s="7"/>
      <c r="B34" s="1"/>
      <c r="C34" s="36"/>
      <c r="D34" s="37"/>
    </row>
    <row r="35" spans="1:8" ht="17.25" thickBot="1" x14ac:dyDescent="0.25">
      <c r="B35" s="6" t="s">
        <v>11</v>
      </c>
      <c r="C35" s="52"/>
      <c r="D35" s="53"/>
      <c r="E35" s="54"/>
      <c r="F35" s="55"/>
    </row>
    <row r="36" spans="1:8" ht="16.5" x14ac:dyDescent="0.2">
      <c r="B36" s="56"/>
      <c r="C36" s="48" t="s">
        <v>7</v>
      </c>
      <c r="D36" s="57">
        <v>0.3</v>
      </c>
    </row>
    <row r="37" spans="1:8" ht="16.5" x14ac:dyDescent="0.2">
      <c r="B37" s="56"/>
      <c r="C37" s="58" t="s">
        <v>3</v>
      </c>
      <c r="D37" s="59">
        <v>0.15</v>
      </c>
    </row>
    <row r="38" spans="1:8" ht="17.25" thickBot="1" x14ac:dyDescent="0.25">
      <c r="B38" s="56"/>
      <c r="C38" s="50" t="s">
        <v>15</v>
      </c>
      <c r="D38" s="60">
        <v>0.05</v>
      </c>
    </row>
    <row r="39" spans="1:8" ht="17.25" hidden="1" outlineLevel="1" thickBot="1" x14ac:dyDescent="0.35">
      <c r="C39" s="61" t="s">
        <v>18</v>
      </c>
      <c r="D39" s="62">
        <v>0.15</v>
      </c>
      <c r="E39" s="63"/>
    </row>
    <row r="40" spans="1:8" s="8" customFormat="1" ht="16.5" collapsed="1" x14ac:dyDescent="0.3">
      <c r="A40" s="7"/>
      <c r="B40" s="1"/>
      <c r="C40" s="1"/>
      <c r="D40" s="1"/>
    </row>
    <row r="41" spans="1:8" s="65" customFormat="1" ht="15.75" x14ac:dyDescent="0.25">
      <c r="A41" s="64"/>
    </row>
    <row r="42" spans="1:8" ht="15.75" x14ac:dyDescent="0.25">
      <c r="A42" s="4"/>
      <c r="B42" s="4" t="s">
        <v>67</v>
      </c>
    </row>
    <row r="43" spans="1:8" ht="18" customHeight="1" x14ac:dyDescent="0.25">
      <c r="A43" s="4"/>
    </row>
    <row r="44" spans="1:8" ht="15.75" x14ac:dyDescent="0.25">
      <c r="B44" s="6" t="s">
        <v>4</v>
      </c>
      <c r="C44" s="4"/>
    </row>
    <row r="45" spans="1:8" s="3" customFormat="1" x14ac:dyDescent="0.2">
      <c r="C45" s="46"/>
      <c r="D45" s="66"/>
      <c r="E45" s="66"/>
      <c r="F45" s="67"/>
      <c r="G45" s="68"/>
      <c r="H45" s="68"/>
    </row>
    <row r="46" spans="1:8" ht="13.5" thickBot="1" x14ac:dyDescent="0.25">
      <c r="A46" s="69"/>
      <c r="C46" s="70" t="s">
        <v>73</v>
      </c>
      <c r="D46" s="3"/>
    </row>
    <row r="47" spans="1:8" x14ac:dyDescent="0.2">
      <c r="A47" s="69"/>
      <c r="C47" s="71" t="s">
        <v>47</v>
      </c>
      <c r="D47" s="72">
        <v>1</v>
      </c>
    </row>
    <row r="48" spans="1:8" ht="13.5" thickBot="1" x14ac:dyDescent="0.25">
      <c r="A48" s="69"/>
      <c r="C48" s="73" t="s">
        <v>6</v>
      </c>
      <c r="D48" s="74">
        <f>'ВЛ-0,4 кВ'!D16+D47</f>
        <v>5</v>
      </c>
    </row>
    <row r="49" spans="1:10" x14ac:dyDescent="0.2">
      <c r="A49" s="69"/>
      <c r="C49" s="75"/>
      <c r="D49" s="76"/>
    </row>
    <row r="50" spans="1:10" x14ac:dyDescent="0.2">
      <c r="A50" s="6"/>
      <c r="B50" s="6" t="s">
        <v>10</v>
      </c>
    </row>
    <row r="51" spans="1:10" x14ac:dyDescent="0.2">
      <c r="A51" s="6"/>
      <c r="C51" s="46" t="s">
        <v>23</v>
      </c>
    </row>
    <row r="52" spans="1:10" ht="13.5" thickBot="1" x14ac:dyDescent="0.25">
      <c r="A52" s="69"/>
      <c r="C52" s="3"/>
      <c r="D52" s="76"/>
    </row>
    <row r="53" spans="1:10" ht="15.75" customHeight="1" x14ac:dyDescent="0.2">
      <c r="A53" s="69"/>
      <c r="C53" s="77"/>
      <c r="D53" s="78"/>
      <c r="E53" s="79"/>
      <c r="F53" s="79"/>
      <c r="G53" s="157" t="s">
        <v>74</v>
      </c>
      <c r="H53" s="157"/>
      <c r="I53" s="157" t="s">
        <v>57</v>
      </c>
      <c r="J53" s="158"/>
    </row>
    <row r="54" spans="1:10" ht="55.5" customHeight="1" x14ac:dyDescent="0.2">
      <c r="A54" s="69"/>
      <c r="C54" s="80" t="s">
        <v>58</v>
      </c>
      <c r="D54" s="81" t="s">
        <v>19</v>
      </c>
      <c r="E54" s="81" t="s">
        <v>75</v>
      </c>
      <c r="F54" s="82" t="s">
        <v>76</v>
      </c>
      <c r="G54" s="82" t="s">
        <v>8</v>
      </c>
      <c r="H54" s="82" t="s">
        <v>14</v>
      </c>
      <c r="I54" s="82" t="s">
        <v>8</v>
      </c>
      <c r="J54" s="83" t="s">
        <v>14</v>
      </c>
    </row>
    <row r="55" spans="1:10" ht="25.5" x14ac:dyDescent="0.2">
      <c r="B55" s="56"/>
      <c r="C55" s="58" t="s">
        <v>17</v>
      </c>
      <c r="D55" s="84">
        <v>0.7</v>
      </c>
      <c r="E55" s="85">
        <f>1/D48</f>
        <v>0.2</v>
      </c>
      <c r="F55" s="86">
        <f>D55*E55</f>
        <v>0.13999999999999999</v>
      </c>
      <c r="G55" s="87">
        <f>'ВЛ-0,4 кВ'!D21</f>
        <v>21526.951249999995</v>
      </c>
      <c r="H55" s="87">
        <f>G55/$D$17</f>
        <v>672.71722656249983</v>
      </c>
      <c r="I55" s="87">
        <f>G55*F55</f>
        <v>3013.7731749999989</v>
      </c>
      <c r="J55" s="88">
        <f>H55*F55</f>
        <v>94.180411718749966</v>
      </c>
    </row>
    <row r="56" spans="1:10" ht="25.5" x14ac:dyDescent="0.2">
      <c r="B56" s="56"/>
      <c r="C56" s="58" t="s">
        <v>78</v>
      </c>
      <c r="D56" s="84">
        <f>D55</f>
        <v>0.7</v>
      </c>
      <c r="E56" s="85">
        <f>E55</f>
        <v>0.2</v>
      </c>
      <c r="F56" s="86">
        <f>D56*E56</f>
        <v>0.13999999999999999</v>
      </c>
      <c r="G56" s="87">
        <f>'ВЛ-0,4 кВ'!D24</f>
        <v>28171.206837039357</v>
      </c>
      <c r="H56" s="87">
        <f>G56/$D$17</f>
        <v>880.35021365747991</v>
      </c>
      <c r="I56" s="87">
        <f t="shared" ref="I56:I58" si="0">G56*F56</f>
        <v>3943.9689571855097</v>
      </c>
      <c r="J56" s="88">
        <f t="shared" ref="J56:J58" si="1">H56*F56</f>
        <v>123.24902991204718</v>
      </c>
    </row>
    <row r="57" spans="1:10" ht="25.5" x14ac:dyDescent="0.2">
      <c r="B57" s="56"/>
      <c r="C57" s="58" t="s">
        <v>79</v>
      </c>
      <c r="D57" s="84">
        <f>D56</f>
        <v>0.7</v>
      </c>
      <c r="E57" s="85">
        <f>E56</f>
        <v>0.2</v>
      </c>
      <c r="F57" s="86">
        <f>D57*E57</f>
        <v>0.13999999999999999</v>
      </c>
      <c r="G57" s="87">
        <f>'ВЛ-0,4 кВ'!D25</f>
        <v>1507.9775100667416</v>
      </c>
      <c r="H57" s="87">
        <f>G57/$D$17</f>
        <v>47.124297189585675</v>
      </c>
      <c r="I57" s="87">
        <f t="shared" si="0"/>
        <v>211.11685140934381</v>
      </c>
      <c r="J57" s="88">
        <f t="shared" si="1"/>
        <v>6.597401606541994</v>
      </c>
    </row>
    <row r="58" spans="1:10" s="3" customFormat="1" ht="26.25" thickBot="1" x14ac:dyDescent="0.25">
      <c r="B58" s="56"/>
      <c r="C58" s="89" t="s">
        <v>16</v>
      </c>
      <c r="D58" s="90">
        <f>D56</f>
        <v>0.7</v>
      </c>
      <c r="E58" s="91">
        <f>E56</f>
        <v>0.2</v>
      </c>
      <c r="F58" s="92">
        <f>D58*E58</f>
        <v>0.13999999999999999</v>
      </c>
      <c r="G58" s="93">
        <f>'ВЛ-0,4 кВ'!D23</f>
        <v>4196.7998980047178</v>
      </c>
      <c r="H58" s="93">
        <f>G58/$D$17</f>
        <v>131.14999681264743</v>
      </c>
      <c r="I58" s="93">
        <f t="shared" si="0"/>
        <v>587.55198572066047</v>
      </c>
      <c r="J58" s="94">
        <f t="shared" si="1"/>
        <v>18.36099955377064</v>
      </c>
    </row>
    <row r="59" spans="1:10" s="3" customFormat="1" ht="16.5" thickBot="1" x14ac:dyDescent="0.25">
      <c r="B59" s="56"/>
      <c r="C59" s="124" t="s">
        <v>5</v>
      </c>
      <c r="D59" s="125"/>
      <c r="E59" s="126"/>
      <c r="F59" s="127"/>
      <c r="G59" s="128">
        <f>SUM(G55:G58)</f>
        <v>55402.935495110811</v>
      </c>
      <c r="H59" s="128">
        <f>SUM(H55:H58)</f>
        <v>1731.3417342222128</v>
      </c>
      <c r="I59" s="128">
        <f>SUM(I55:I58)</f>
        <v>7756.4109693155133</v>
      </c>
      <c r="J59" s="129">
        <f>SUM(J55:J58)</f>
        <v>242.38784279110979</v>
      </c>
    </row>
    <row r="62" spans="1:10" ht="15.75" x14ac:dyDescent="0.25">
      <c r="B62" s="95" t="s">
        <v>48</v>
      </c>
    </row>
    <row r="63" spans="1:10" ht="20.25" customHeight="1" x14ac:dyDescent="0.25">
      <c r="A63" s="69"/>
      <c r="B63" s="4"/>
      <c r="C63" s="159"/>
      <c r="D63" s="159"/>
      <c r="E63" s="159"/>
      <c r="F63" s="159"/>
      <c r="G63" s="159"/>
      <c r="H63" s="159"/>
    </row>
    <row r="64" spans="1:10" ht="60" customHeight="1" x14ac:dyDescent="0.25">
      <c r="A64" s="69"/>
      <c r="B64" s="4"/>
      <c r="C64" s="159" t="s">
        <v>31</v>
      </c>
      <c r="D64" s="159"/>
      <c r="E64" s="159"/>
      <c r="F64" s="159"/>
      <c r="G64" s="159"/>
      <c r="H64" s="159"/>
    </row>
    <row r="65" spans="1:8" ht="36.75" customHeight="1" x14ac:dyDescent="0.25">
      <c r="A65" s="69"/>
      <c r="B65" s="4"/>
      <c r="C65" s="159" t="s">
        <v>32</v>
      </c>
      <c r="D65" s="159"/>
      <c r="E65" s="159"/>
      <c r="F65" s="159"/>
      <c r="G65" s="159"/>
      <c r="H65" s="159"/>
    </row>
    <row r="66" spans="1:8" ht="13.5" thickBot="1" x14ac:dyDescent="0.25">
      <c r="B66" s="6" t="s">
        <v>38</v>
      </c>
    </row>
    <row r="67" spans="1:8" x14ac:dyDescent="0.2">
      <c r="C67" s="96" t="s">
        <v>44</v>
      </c>
      <c r="D67" s="97">
        <f>D27</f>
        <v>114382.2646299747</v>
      </c>
    </row>
    <row r="68" spans="1:8" x14ac:dyDescent="0.2">
      <c r="C68" s="98" t="s">
        <v>45</v>
      </c>
      <c r="D68" s="99">
        <f>D28</f>
        <v>80067.585240982284</v>
      </c>
      <c r="E68" s="42"/>
    </row>
    <row r="69" spans="1:8" x14ac:dyDescent="0.2">
      <c r="C69" s="98" t="s">
        <v>40</v>
      </c>
      <c r="D69" s="99">
        <f>D29</f>
        <v>30000</v>
      </c>
      <c r="E69" s="42"/>
    </row>
    <row r="70" spans="1:8" x14ac:dyDescent="0.2">
      <c r="C70" s="100" t="s">
        <v>33</v>
      </c>
      <c r="D70" s="101">
        <f>SUM(D67:D69)</f>
        <v>224449.84987095697</v>
      </c>
      <c r="E70" s="42"/>
    </row>
    <row r="71" spans="1:8" ht="25.5" x14ac:dyDescent="0.2">
      <c r="C71" s="58" t="s">
        <v>39</v>
      </c>
      <c r="D71" s="102">
        <v>0.25</v>
      </c>
    </row>
    <row r="72" spans="1:8" x14ac:dyDescent="0.2">
      <c r="C72" s="103" t="s">
        <v>34</v>
      </c>
      <c r="D72" s="99">
        <f>D30</f>
        <v>65000</v>
      </c>
      <c r="E72" s="42"/>
    </row>
    <row r="73" spans="1:8" x14ac:dyDescent="0.2">
      <c r="C73" s="104" t="s">
        <v>35</v>
      </c>
      <c r="D73" s="101">
        <f>D72*D71</f>
        <v>16250</v>
      </c>
    </row>
    <row r="74" spans="1:8" ht="13.5" thickBot="1" x14ac:dyDescent="0.25">
      <c r="C74" s="105" t="s">
        <v>37</v>
      </c>
      <c r="D74" s="106">
        <f>SUM(D73,D70)</f>
        <v>240699.84987095697</v>
      </c>
    </row>
    <row r="75" spans="1:8" ht="17.25" thickBot="1" x14ac:dyDescent="0.35">
      <c r="B75" s="3"/>
      <c r="C75" s="107"/>
      <c r="D75" s="108"/>
    </row>
    <row r="76" spans="1:8" ht="25.5" x14ac:dyDescent="0.2">
      <c r="C76" s="48" t="s">
        <v>42</v>
      </c>
      <c r="D76" s="109">
        <f>D32</f>
        <v>1.1132917800840789E-2</v>
      </c>
    </row>
    <row r="77" spans="1:8" ht="26.25" thickBot="1" x14ac:dyDescent="0.25">
      <c r="C77" s="50" t="s">
        <v>41</v>
      </c>
      <c r="D77" s="110">
        <f>D33</f>
        <v>0.1</v>
      </c>
    </row>
    <row r="78" spans="1:8" x14ac:dyDescent="0.2">
      <c r="C78" s="46"/>
      <c r="D78" s="111"/>
    </row>
    <row r="79" spans="1:8" x14ac:dyDescent="0.2">
      <c r="A79" s="6"/>
      <c r="B79" s="6" t="s">
        <v>10</v>
      </c>
    </row>
    <row r="80" spans="1:8" x14ac:dyDescent="0.2">
      <c r="A80" s="6"/>
      <c r="C80" s="46" t="s">
        <v>23</v>
      </c>
    </row>
    <row r="81" spans="1:10" ht="13.5" thickBot="1" x14ac:dyDescent="0.25">
      <c r="B81" s="6"/>
    </row>
    <row r="82" spans="1:10" ht="15.75" customHeight="1" x14ac:dyDescent="0.2">
      <c r="A82" s="69"/>
      <c r="C82" s="112"/>
      <c r="D82" s="78"/>
      <c r="E82" s="79"/>
      <c r="F82" s="79"/>
      <c r="G82" s="157" t="s">
        <v>74</v>
      </c>
      <c r="H82" s="157"/>
      <c r="I82" s="157" t="s">
        <v>57</v>
      </c>
      <c r="J82" s="158"/>
    </row>
    <row r="83" spans="1:10" ht="55.5" customHeight="1" x14ac:dyDescent="0.2">
      <c r="A83" s="69"/>
      <c r="C83" s="80" t="s">
        <v>49</v>
      </c>
      <c r="D83" s="81" t="s">
        <v>19</v>
      </c>
      <c r="E83" s="81" t="s">
        <v>75</v>
      </c>
      <c r="F83" s="82" t="s">
        <v>76</v>
      </c>
      <c r="G83" s="82" t="s">
        <v>8</v>
      </c>
      <c r="H83" s="82" t="s">
        <v>14</v>
      </c>
      <c r="I83" s="82" t="s">
        <v>8</v>
      </c>
      <c r="J83" s="83" t="s">
        <v>14</v>
      </c>
    </row>
    <row r="84" spans="1:10" s="3" customFormat="1" ht="33" customHeight="1" x14ac:dyDescent="0.2">
      <c r="B84" s="56"/>
      <c r="C84" s="58" t="s">
        <v>20</v>
      </c>
      <c r="D84" s="84">
        <v>1</v>
      </c>
      <c r="E84" s="85">
        <v>1</v>
      </c>
      <c r="F84" s="86">
        <f t="shared" ref="F84:F85" si="2">D84*E84</f>
        <v>1</v>
      </c>
      <c r="G84" s="87">
        <f>D74*D76</f>
        <v>2679.6916432880821</v>
      </c>
      <c r="H84" s="87">
        <f>G84/$D$17</f>
        <v>83.740363852752566</v>
      </c>
      <c r="I84" s="87">
        <f>G84*F84</f>
        <v>2679.6916432880821</v>
      </c>
      <c r="J84" s="88">
        <f>H84*F84</f>
        <v>83.740363852752566</v>
      </c>
    </row>
    <row r="85" spans="1:10" s="3" customFormat="1" ht="33" customHeight="1" thickBot="1" x14ac:dyDescent="0.25">
      <c r="B85" s="56"/>
      <c r="C85" s="89" t="s">
        <v>21</v>
      </c>
      <c r="D85" s="90">
        <v>1</v>
      </c>
      <c r="E85" s="91">
        <v>1</v>
      </c>
      <c r="F85" s="92">
        <f t="shared" si="2"/>
        <v>1</v>
      </c>
      <c r="G85" s="93">
        <f>D74*D77</f>
        <v>24069.984987095697</v>
      </c>
      <c r="H85" s="93">
        <f>G85/$D$17</f>
        <v>752.18703084674053</v>
      </c>
      <c r="I85" s="93">
        <f>G85*F85</f>
        <v>24069.984987095697</v>
      </c>
      <c r="J85" s="94">
        <f>H85*F85</f>
        <v>752.18703084674053</v>
      </c>
    </row>
    <row r="86" spans="1:10" ht="16.5" thickBot="1" x14ac:dyDescent="0.25">
      <c r="C86" s="124" t="s">
        <v>5</v>
      </c>
      <c r="D86" s="130"/>
      <c r="E86" s="131"/>
      <c r="F86" s="132"/>
      <c r="G86" s="128">
        <f>SUM(G84:G85)</f>
        <v>26749.676630383779</v>
      </c>
      <c r="H86" s="128">
        <f>SUM(H84:H85)</f>
        <v>835.92739469949311</v>
      </c>
      <c r="I86" s="128">
        <f>SUM(I84:I85)</f>
        <v>26749.676630383779</v>
      </c>
      <c r="J86" s="129">
        <f>SUM(J84:J85)</f>
        <v>835.92739469949311</v>
      </c>
    </row>
    <row r="87" spans="1:10" x14ac:dyDescent="0.2">
      <c r="J87" s="42"/>
    </row>
    <row r="88" spans="1:10" ht="15.75" x14ac:dyDescent="0.25">
      <c r="B88" s="95" t="s">
        <v>50</v>
      </c>
      <c r="J88" s="42"/>
    </row>
    <row r="89" spans="1:10" ht="16.5" thickBot="1" x14ac:dyDescent="0.3">
      <c r="B89" s="95"/>
      <c r="J89" s="42"/>
    </row>
    <row r="90" spans="1:10" ht="15.75" customHeight="1" x14ac:dyDescent="0.2">
      <c r="A90" s="69"/>
      <c r="C90" s="77"/>
      <c r="D90" s="157" t="s">
        <v>52</v>
      </c>
      <c r="E90" s="158"/>
    </row>
    <row r="91" spans="1:10" ht="55.5" customHeight="1" x14ac:dyDescent="0.2">
      <c r="A91" s="69"/>
      <c r="C91" s="80" t="s">
        <v>55</v>
      </c>
      <c r="D91" s="82" t="s">
        <v>8</v>
      </c>
      <c r="E91" s="83" t="s">
        <v>14</v>
      </c>
    </row>
    <row r="92" spans="1:10" ht="30.75" customHeight="1" x14ac:dyDescent="0.2">
      <c r="A92" s="69"/>
      <c r="C92" s="80" t="s">
        <v>56</v>
      </c>
      <c r="D92" s="113">
        <f>I59</f>
        <v>7756.4109693155133</v>
      </c>
      <c r="E92" s="114">
        <f>J59</f>
        <v>242.38784279110979</v>
      </c>
    </row>
    <row r="93" spans="1:10" ht="26.25" customHeight="1" x14ac:dyDescent="0.2">
      <c r="A93" s="69"/>
      <c r="B93" s="150"/>
      <c r="C93" s="80" t="s">
        <v>53</v>
      </c>
      <c r="D93" s="113">
        <f>I86</f>
        <v>26749.676630383779</v>
      </c>
      <c r="E93" s="114">
        <f>J86</f>
        <v>835.92739469949311</v>
      </c>
    </row>
    <row r="94" spans="1:10" ht="26.25" customHeight="1" x14ac:dyDescent="0.2">
      <c r="A94" s="69"/>
      <c r="B94" s="115">
        <v>0.03</v>
      </c>
      <c r="C94" s="80" t="s">
        <v>54</v>
      </c>
      <c r="D94" s="113">
        <f>B94*(D93+D92)</f>
        <v>1035.1826279909787</v>
      </c>
      <c r="E94" s="114">
        <f>B94*(E93+E92)</f>
        <v>32.349457124718086</v>
      </c>
    </row>
    <row r="95" spans="1:10" ht="15.75" x14ac:dyDescent="0.25">
      <c r="B95" s="95"/>
      <c r="C95" s="104" t="s">
        <v>51</v>
      </c>
      <c r="D95" s="116">
        <f>SUM(D92:D94)</f>
        <v>35541.270227690271</v>
      </c>
      <c r="E95" s="117">
        <f>SUM(E92:E94)</f>
        <v>1110.664694615321</v>
      </c>
    </row>
    <row r="96" spans="1:10" s="3" customFormat="1" x14ac:dyDescent="0.2">
      <c r="B96" s="56"/>
      <c r="C96" s="118" t="s">
        <v>9</v>
      </c>
      <c r="D96" s="119">
        <f>D95*$D$36</f>
        <v>10662.381068307081</v>
      </c>
      <c r="E96" s="120">
        <f>E95*$D$36</f>
        <v>333.19940838459627</v>
      </c>
    </row>
    <row r="97" spans="2:5" s="3" customFormat="1" x14ac:dyDescent="0.2">
      <c r="B97" s="56"/>
      <c r="C97" s="104" t="s">
        <v>59</v>
      </c>
      <c r="D97" s="116">
        <f>SUM(D95:D96)</f>
        <v>46203.651295997348</v>
      </c>
      <c r="E97" s="117">
        <f>SUM(E95:E96)</f>
        <v>1443.8641029999171</v>
      </c>
    </row>
    <row r="98" spans="2:5" s="3" customFormat="1" x14ac:dyDescent="0.2">
      <c r="B98" s="56"/>
      <c r="C98" s="118" t="s">
        <v>12</v>
      </c>
      <c r="D98" s="119">
        <f>D97*(1/(1-$D$37)-1)</f>
        <v>8153.585522823063</v>
      </c>
      <c r="E98" s="120">
        <f>E97*(1/(1-$D$37)-1)</f>
        <v>254.79954758822072</v>
      </c>
    </row>
    <row r="99" spans="2:5" s="3" customFormat="1" x14ac:dyDescent="0.2">
      <c r="B99" s="56"/>
      <c r="C99" s="104" t="s">
        <v>13</v>
      </c>
      <c r="D99" s="116">
        <f>SUM(D97:D98)</f>
        <v>54357.236818820413</v>
      </c>
      <c r="E99" s="117">
        <f>SUM(E97:E98)</f>
        <v>1698.6636505881379</v>
      </c>
    </row>
    <row r="100" spans="2:5" s="3" customFormat="1" ht="33" customHeight="1" x14ac:dyDescent="0.2">
      <c r="B100" s="56"/>
      <c r="C100" s="118" t="s">
        <v>15</v>
      </c>
      <c r="D100" s="119">
        <f>D99*$D$38</f>
        <v>2717.861840941021</v>
      </c>
      <c r="E100" s="120">
        <f>E99*$D$38</f>
        <v>84.933182529406906</v>
      </c>
    </row>
    <row r="101" spans="2:5" s="3" customFormat="1" ht="20.25" customHeight="1" thickBot="1" x14ac:dyDescent="0.25">
      <c r="B101" s="56"/>
      <c r="C101" s="133" t="s">
        <v>22</v>
      </c>
      <c r="D101" s="134">
        <f>SUM(D99:D100)</f>
        <v>57075.098659761432</v>
      </c>
      <c r="E101" s="135">
        <f>SUM(E99:E100)</f>
        <v>1783.5968331175447</v>
      </c>
    </row>
    <row r="102" spans="2:5" ht="13.5" thickBot="1" x14ac:dyDescent="0.25">
      <c r="E102" s="42"/>
    </row>
    <row r="103" spans="2:5" ht="25.5" x14ac:dyDescent="0.2">
      <c r="C103" s="121"/>
      <c r="D103" s="122" t="s">
        <v>61</v>
      </c>
      <c r="E103" s="123" t="s">
        <v>62</v>
      </c>
    </row>
    <row r="104" spans="2:5" ht="16.5" thickBot="1" x14ac:dyDescent="0.25">
      <c r="C104" s="133" t="s">
        <v>22</v>
      </c>
      <c r="D104" s="136">
        <f>D101/12</f>
        <v>4756.2582216467863</v>
      </c>
      <c r="E104" s="137">
        <f>E101/12</f>
        <v>148.63306942646207</v>
      </c>
    </row>
  </sheetData>
  <mergeCells count="14">
    <mergeCell ref="H2:J2"/>
    <mergeCell ref="H3:J3"/>
    <mergeCell ref="H4:J4"/>
    <mergeCell ref="C10:J10"/>
    <mergeCell ref="A7:J7"/>
    <mergeCell ref="A9:J9"/>
    <mergeCell ref="D90:E90"/>
    <mergeCell ref="G53:H53"/>
    <mergeCell ref="I53:J53"/>
    <mergeCell ref="C63:H63"/>
    <mergeCell ref="C64:H64"/>
    <mergeCell ref="C65:H65"/>
    <mergeCell ref="G82:H82"/>
    <mergeCell ref="I82:J82"/>
  </mergeCells>
  <pageMargins left="0.25" right="0.25" top="0.75" bottom="0.75" header="0.3" footer="0.3"/>
  <pageSetup paperSize="9" scale="75" fitToHeight="0" orientation="landscape" r:id="rId1"/>
  <rowBreaks count="3" manualBreakCount="3">
    <brk id="41" max="16383" man="1"/>
    <brk id="61" max="16383" man="1"/>
    <brk id="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L99"/>
  <sheetViews>
    <sheetView view="pageBreakPreview" zoomScale="85" zoomScaleNormal="78" zoomScaleSheetLayoutView="85" workbookViewId="0">
      <pane xSplit="3" ySplit="10" topLeftCell="D11" activePane="bottomRight" state="frozen"/>
      <selection activeCell="D98" sqref="D98"/>
      <selection pane="topRight" activeCell="D98" sqref="D98"/>
      <selection pane="bottomLeft" activeCell="D98" sqref="D98"/>
      <selection pane="bottomRight" activeCell="G10" sqref="G10"/>
    </sheetView>
  </sheetViews>
  <sheetFormatPr defaultColWidth="9.140625" defaultRowHeight="12.75" outlineLevelRow="1" x14ac:dyDescent="0.2"/>
  <cols>
    <col min="1" max="1" width="3.85546875" style="1" customWidth="1"/>
    <col min="2" max="2" width="5.42578125" style="1" customWidth="1"/>
    <col min="3" max="3" width="68.5703125" style="1" customWidth="1"/>
    <col min="4" max="10" width="15.85546875" style="1" customWidth="1"/>
    <col min="11" max="14" width="15" style="1" customWidth="1"/>
    <col min="15" max="15" width="15.5703125" style="1" customWidth="1"/>
    <col min="16" max="16" width="16.5703125" style="1" customWidth="1"/>
    <col min="17" max="19" width="15" style="1" customWidth="1"/>
    <col min="20" max="20" width="17" style="1" customWidth="1"/>
    <col min="21" max="27" width="15.42578125" style="1" customWidth="1"/>
    <col min="28" max="28" width="16.5703125" style="1" customWidth="1"/>
    <col min="29" max="29" width="17.42578125" style="1" customWidth="1"/>
    <col min="30" max="30" width="17.140625" style="1" customWidth="1"/>
    <col min="31" max="31" width="17.42578125" style="1" customWidth="1"/>
    <col min="32" max="32" width="16.7109375" style="1" customWidth="1"/>
    <col min="33" max="33" width="17.42578125" style="1" customWidth="1"/>
    <col min="34" max="34" width="17.28515625" style="1" customWidth="1"/>
    <col min="35" max="35" width="18.140625" style="1" customWidth="1"/>
    <col min="36" max="36" width="16.28515625" style="1" customWidth="1"/>
    <col min="37" max="16384" width="9.140625" style="1"/>
  </cols>
  <sheetData>
    <row r="2" spans="1:12" ht="18" x14ac:dyDescent="0.25">
      <c r="A2" s="162" t="s">
        <v>81</v>
      </c>
      <c r="B2" s="162"/>
      <c r="C2" s="162"/>
      <c r="D2" s="162"/>
      <c r="E2" s="162"/>
      <c r="F2" s="162"/>
      <c r="G2" s="162"/>
      <c r="H2" s="162"/>
      <c r="I2" s="162"/>
      <c r="J2" s="162"/>
    </row>
    <row r="4" spans="1:12" ht="18" x14ac:dyDescent="0.25">
      <c r="A4" s="162" t="s">
        <v>82</v>
      </c>
      <c r="B4" s="162"/>
      <c r="C4" s="162"/>
      <c r="D4" s="162"/>
      <c r="E4" s="162"/>
      <c r="F4" s="162"/>
      <c r="G4" s="162"/>
      <c r="H4" s="162"/>
      <c r="I4" s="162"/>
      <c r="J4" s="162"/>
    </row>
    <row r="5" spans="1:12" ht="15" customHeight="1" x14ac:dyDescent="0.2">
      <c r="B5" s="3"/>
      <c r="C5" s="161" t="s">
        <v>83</v>
      </c>
      <c r="D5" s="161"/>
      <c r="E5" s="161"/>
      <c r="F5" s="161"/>
      <c r="G5" s="161"/>
      <c r="H5" s="161"/>
      <c r="I5" s="161"/>
      <c r="J5" s="161"/>
    </row>
    <row r="6" spans="1:12" ht="18" x14ac:dyDescent="0.25">
      <c r="A6" s="4" t="s">
        <v>43</v>
      </c>
      <c r="C6" s="5" t="s">
        <v>68</v>
      </c>
    </row>
    <row r="7" spans="1:12" ht="18" x14ac:dyDescent="0.25">
      <c r="A7" s="4"/>
      <c r="C7" s="5" t="s">
        <v>60</v>
      </c>
    </row>
    <row r="8" spans="1:12" ht="15.75" x14ac:dyDescent="0.25">
      <c r="A8" s="6"/>
      <c r="B8" s="4" t="s">
        <v>69</v>
      </c>
      <c r="C8" s="4"/>
    </row>
    <row r="9" spans="1:12" s="8" customFormat="1" ht="10.5" customHeight="1" thickBot="1" x14ac:dyDescent="0.35">
      <c r="A9" s="7"/>
      <c r="B9" s="1"/>
      <c r="C9" s="1"/>
      <c r="D9" s="1"/>
    </row>
    <row r="10" spans="1:12" s="8" customFormat="1" ht="50.25" customHeight="1" x14ac:dyDescent="0.3">
      <c r="A10" s="9"/>
      <c r="B10" s="1"/>
      <c r="C10" s="10" t="s">
        <v>70</v>
      </c>
      <c r="D10" s="11" t="s">
        <v>46</v>
      </c>
    </row>
    <row r="11" spans="1:12" s="8" customFormat="1" ht="16.5" x14ac:dyDescent="0.3">
      <c r="A11" s="7"/>
      <c r="B11" s="1"/>
      <c r="C11" s="12" t="s">
        <v>28</v>
      </c>
      <c r="D11" s="13">
        <v>3</v>
      </c>
      <c r="F11" s="1"/>
    </row>
    <row r="12" spans="1:12" s="8" customFormat="1" ht="17.25" thickBot="1" x14ac:dyDescent="0.35">
      <c r="A12" s="7"/>
      <c r="B12" s="1"/>
      <c r="C12" s="16" t="s">
        <v>27</v>
      </c>
      <c r="D12" s="17">
        <v>25</v>
      </c>
    </row>
    <row r="13" spans="1:12" s="8" customFormat="1" ht="5.25" customHeight="1" thickBot="1" x14ac:dyDescent="0.35">
      <c r="A13" s="7"/>
      <c r="B13" s="1"/>
      <c r="C13" s="18"/>
      <c r="D13" s="19"/>
    </row>
    <row r="14" spans="1:12" s="8" customFormat="1" ht="16.5" x14ac:dyDescent="0.3">
      <c r="A14" s="7"/>
      <c r="B14" s="1"/>
      <c r="C14" s="20" t="s">
        <v>26</v>
      </c>
      <c r="D14" s="21">
        <v>40</v>
      </c>
    </row>
    <row r="15" spans="1:12" s="8" customFormat="1" ht="16.5" x14ac:dyDescent="0.3">
      <c r="A15" s="7"/>
      <c r="B15" s="1"/>
      <c r="C15" s="22" t="s">
        <v>29</v>
      </c>
      <c r="D15" s="23">
        <f>814758.686440678*1.18</f>
        <v>961415.25</v>
      </c>
      <c r="K15" s="138"/>
      <c r="L15" s="139"/>
    </row>
    <row r="16" spans="1:12" s="8" customFormat="1" ht="17.25" thickBot="1" x14ac:dyDescent="0.35">
      <c r="A16" s="7"/>
      <c r="B16" s="1"/>
      <c r="C16" s="16" t="s">
        <v>30</v>
      </c>
      <c r="D16" s="26">
        <f>D15/D14</f>
        <v>24035.381249999999</v>
      </c>
    </row>
    <row r="17" spans="1:11" s="8" customFormat="1" ht="3.75" customHeight="1" thickBot="1" x14ac:dyDescent="0.35">
      <c r="A17" s="7"/>
      <c r="B17" s="1"/>
      <c r="C17" s="18"/>
      <c r="D17" s="27"/>
    </row>
    <row r="18" spans="1:11" s="8" customFormat="1" ht="16.5" x14ac:dyDescent="0.3">
      <c r="A18" s="7"/>
      <c r="B18" s="1"/>
      <c r="C18" s="28" t="s">
        <v>0</v>
      </c>
      <c r="D18" s="29">
        <v>4196.7998980047178</v>
      </c>
    </row>
    <row r="19" spans="1:11" s="8" customFormat="1" ht="16.5" x14ac:dyDescent="0.3">
      <c r="A19" s="7"/>
      <c r="B19" s="1"/>
      <c r="C19" s="31" t="s">
        <v>2</v>
      </c>
      <c r="D19" s="32">
        <v>27737.043422991359</v>
      </c>
    </row>
    <row r="20" spans="1:11" s="8" customFormat="1" ht="17.25" thickBot="1" x14ac:dyDescent="0.35">
      <c r="A20" s="7"/>
      <c r="B20" s="1"/>
      <c r="C20" s="33" t="s">
        <v>1</v>
      </c>
      <c r="D20" s="34">
        <v>1196.4045752443624</v>
      </c>
      <c r="E20" s="140"/>
    </row>
    <row r="21" spans="1:11" s="8" customFormat="1" ht="17.25" thickBot="1" x14ac:dyDescent="0.35">
      <c r="A21" s="7"/>
      <c r="B21" s="1"/>
      <c r="C21" s="36"/>
      <c r="D21" s="37"/>
    </row>
    <row r="22" spans="1:11" ht="16.5" x14ac:dyDescent="0.3">
      <c r="C22" s="38" t="s">
        <v>44</v>
      </c>
      <c r="D22" s="39">
        <v>120402.3838210259</v>
      </c>
    </row>
    <row r="23" spans="1:11" ht="16.5" x14ac:dyDescent="0.3">
      <c r="C23" s="40" t="s">
        <v>45</v>
      </c>
      <c r="D23" s="41">
        <f>D22*0.7</f>
        <v>84281.668674718123</v>
      </c>
      <c r="E23" s="42"/>
    </row>
    <row r="24" spans="1:11" ht="16.5" x14ac:dyDescent="0.3">
      <c r="C24" s="40" t="s">
        <v>40</v>
      </c>
      <c r="D24" s="43">
        <v>30000</v>
      </c>
      <c r="E24" s="42"/>
    </row>
    <row r="25" spans="1:11" ht="17.25" thickBot="1" x14ac:dyDescent="0.35">
      <c r="C25" s="44" t="s">
        <v>36</v>
      </c>
      <c r="D25" s="45">
        <v>65000</v>
      </c>
    </row>
    <row r="26" spans="1:11" ht="17.25" thickBot="1" x14ac:dyDescent="0.35">
      <c r="C26" s="46"/>
      <c r="D26" s="47"/>
    </row>
    <row r="27" spans="1:11" ht="25.5" x14ac:dyDescent="0.3">
      <c r="C27" s="48" t="s">
        <v>24</v>
      </c>
      <c r="D27" s="49">
        <v>5.4999999999999997E-3</v>
      </c>
      <c r="K27" s="141"/>
    </row>
    <row r="28" spans="1:11" ht="26.25" thickBot="1" x14ac:dyDescent="0.25">
      <c r="C28" s="50" t="s">
        <v>25</v>
      </c>
      <c r="D28" s="51">
        <v>0.1</v>
      </c>
    </row>
    <row r="29" spans="1:11" s="8" customFormat="1" ht="16.5" x14ac:dyDescent="0.3">
      <c r="A29" s="7"/>
      <c r="B29" s="1"/>
      <c r="C29" s="36"/>
      <c r="D29" s="37"/>
    </row>
    <row r="30" spans="1:11" ht="17.25" thickBot="1" x14ac:dyDescent="0.25">
      <c r="B30" s="6" t="s">
        <v>11</v>
      </c>
      <c r="C30" s="52"/>
      <c r="D30" s="53"/>
      <c r="E30" s="54"/>
      <c r="F30" s="55"/>
    </row>
    <row r="31" spans="1:11" ht="16.5" x14ac:dyDescent="0.2">
      <c r="B31" s="56"/>
      <c r="C31" s="48" t="s">
        <v>7</v>
      </c>
      <c r="D31" s="57">
        <v>0.3</v>
      </c>
    </row>
    <row r="32" spans="1:11" ht="16.5" x14ac:dyDescent="0.2">
      <c r="B32" s="56"/>
      <c r="C32" s="58" t="s">
        <v>3</v>
      </c>
      <c r="D32" s="59">
        <v>0.15</v>
      </c>
    </row>
    <row r="33" spans="1:10" ht="17.25" thickBot="1" x14ac:dyDescent="0.25">
      <c r="B33" s="56"/>
      <c r="C33" s="50" t="s">
        <v>15</v>
      </c>
      <c r="D33" s="60">
        <v>0.05</v>
      </c>
    </row>
    <row r="34" spans="1:10" ht="17.25" hidden="1" outlineLevel="1" thickBot="1" x14ac:dyDescent="0.35">
      <c r="C34" s="50" t="s">
        <v>18</v>
      </c>
      <c r="D34" s="142">
        <v>0.15</v>
      </c>
      <c r="E34" s="63"/>
    </row>
    <row r="35" spans="1:10" s="8" customFormat="1" ht="16.5" collapsed="1" x14ac:dyDescent="0.3">
      <c r="A35" s="7"/>
      <c r="B35" s="1"/>
      <c r="C35" s="1"/>
      <c r="D35" s="1"/>
    </row>
    <row r="36" spans="1:10" s="65" customFormat="1" ht="15.75" x14ac:dyDescent="0.25">
      <c r="A36" s="64"/>
    </row>
    <row r="37" spans="1:10" ht="15.75" x14ac:dyDescent="0.25">
      <c r="A37" s="4"/>
      <c r="B37" s="4" t="s">
        <v>71</v>
      </c>
    </row>
    <row r="38" spans="1:10" ht="18" customHeight="1" x14ac:dyDescent="0.25">
      <c r="A38" s="4"/>
    </row>
    <row r="39" spans="1:10" ht="15.75" x14ac:dyDescent="0.25">
      <c r="B39" s="6" t="s">
        <v>4</v>
      </c>
      <c r="C39" s="4"/>
    </row>
    <row r="40" spans="1:10" s="3" customFormat="1" x14ac:dyDescent="0.2">
      <c r="C40" s="46"/>
      <c r="D40" s="66"/>
      <c r="E40" s="66"/>
      <c r="F40" s="67"/>
      <c r="G40" s="68"/>
      <c r="H40" s="68"/>
    </row>
    <row r="41" spans="1:10" ht="13.5" thickBot="1" x14ac:dyDescent="0.25">
      <c r="A41" s="69"/>
      <c r="C41" s="70" t="s">
        <v>77</v>
      </c>
      <c r="D41" s="3"/>
    </row>
    <row r="42" spans="1:10" x14ac:dyDescent="0.2">
      <c r="A42" s="69"/>
      <c r="C42" s="71" t="s">
        <v>47</v>
      </c>
      <c r="D42" s="72">
        <v>1</v>
      </c>
    </row>
    <row r="43" spans="1:10" ht="13.5" thickBot="1" x14ac:dyDescent="0.25">
      <c r="A43" s="69"/>
      <c r="C43" s="73" t="s">
        <v>6</v>
      </c>
      <c r="D43" s="74">
        <f>'ВЛ-6 (10) кВ'!D11+D42</f>
        <v>4</v>
      </c>
    </row>
    <row r="44" spans="1:10" x14ac:dyDescent="0.2">
      <c r="A44" s="69"/>
      <c r="C44" s="75"/>
      <c r="D44" s="76"/>
    </row>
    <row r="45" spans="1:10" x14ac:dyDescent="0.2">
      <c r="A45" s="6"/>
      <c r="B45" s="6" t="s">
        <v>10</v>
      </c>
    </row>
    <row r="46" spans="1:10" x14ac:dyDescent="0.2">
      <c r="A46" s="6"/>
      <c r="C46" s="46" t="s">
        <v>23</v>
      </c>
    </row>
    <row r="47" spans="1:10" ht="13.5" thickBot="1" x14ac:dyDescent="0.25">
      <c r="A47" s="69"/>
      <c r="C47" s="3"/>
      <c r="D47" s="76"/>
    </row>
    <row r="48" spans="1:10" ht="15.75" customHeight="1" x14ac:dyDescent="0.2">
      <c r="A48" s="69"/>
      <c r="C48" s="77"/>
      <c r="D48" s="78"/>
      <c r="E48" s="79"/>
      <c r="F48" s="79"/>
      <c r="G48" s="157" t="s">
        <v>72</v>
      </c>
      <c r="H48" s="157"/>
      <c r="I48" s="157" t="s">
        <v>57</v>
      </c>
      <c r="J48" s="158"/>
    </row>
    <row r="49" spans="1:10" ht="55.5" customHeight="1" x14ac:dyDescent="0.2">
      <c r="A49" s="69"/>
      <c r="C49" s="80" t="s">
        <v>80</v>
      </c>
      <c r="D49" s="81" t="s">
        <v>19</v>
      </c>
      <c r="E49" s="81" t="s">
        <v>75</v>
      </c>
      <c r="F49" s="82" t="s">
        <v>76</v>
      </c>
      <c r="G49" s="82" t="s">
        <v>8</v>
      </c>
      <c r="H49" s="82" t="s">
        <v>14</v>
      </c>
      <c r="I49" s="82" t="s">
        <v>8</v>
      </c>
      <c r="J49" s="83" t="s">
        <v>14</v>
      </c>
    </row>
    <row r="50" spans="1:10" ht="25.5" x14ac:dyDescent="0.2">
      <c r="B50" s="56"/>
      <c r="C50" s="58" t="s">
        <v>17</v>
      </c>
      <c r="D50" s="84">
        <v>0.7</v>
      </c>
      <c r="E50" s="85">
        <f>1/D43</f>
        <v>0.25</v>
      </c>
      <c r="F50" s="86">
        <f>D50*E50</f>
        <v>0.17499999999999999</v>
      </c>
      <c r="G50" s="87">
        <f>'ВЛ-6 (10) кВ'!D16</f>
        <v>24035.381249999999</v>
      </c>
      <c r="H50" s="87">
        <f>G50/$D$12</f>
        <v>961.4152499999999</v>
      </c>
      <c r="I50" s="87">
        <f>G50*F50</f>
        <v>4206.1917187499994</v>
      </c>
      <c r="J50" s="88">
        <f>H50*F50</f>
        <v>168.24766874999997</v>
      </c>
    </row>
    <row r="51" spans="1:10" ht="25.5" x14ac:dyDescent="0.2">
      <c r="B51" s="56"/>
      <c r="C51" s="58" t="s">
        <v>78</v>
      </c>
      <c r="D51" s="84">
        <f>D50</f>
        <v>0.7</v>
      </c>
      <c r="E51" s="85">
        <f>E50</f>
        <v>0.25</v>
      </c>
      <c r="F51" s="86">
        <f>D51*E51</f>
        <v>0.17499999999999999</v>
      </c>
      <c r="G51" s="87">
        <f>'ВЛ-6 (10) кВ'!D19</f>
        <v>27737.043422991359</v>
      </c>
      <c r="H51" s="87">
        <f>G51/$D$12</f>
        <v>1109.4817369196544</v>
      </c>
      <c r="I51" s="87">
        <f t="shared" ref="I51:I53" si="0">G51*F51</f>
        <v>4853.9825990234876</v>
      </c>
      <c r="J51" s="88">
        <f t="shared" ref="J51:J53" si="1">H51*F51</f>
        <v>194.1593039609395</v>
      </c>
    </row>
    <row r="52" spans="1:10" ht="25.5" x14ac:dyDescent="0.2">
      <c r="B52" s="56"/>
      <c r="C52" s="58" t="s">
        <v>79</v>
      </c>
      <c r="D52" s="84">
        <f>D51</f>
        <v>0.7</v>
      </c>
      <c r="E52" s="85">
        <f>E51</f>
        <v>0.25</v>
      </c>
      <c r="F52" s="86">
        <f>D52*E52</f>
        <v>0.17499999999999999</v>
      </c>
      <c r="G52" s="87">
        <f>'ВЛ-6 (10) кВ'!D20</f>
        <v>1196.4045752443624</v>
      </c>
      <c r="H52" s="87">
        <f>G52/$D$12</f>
        <v>47.856183009774497</v>
      </c>
      <c r="I52" s="87">
        <f t="shared" si="0"/>
        <v>209.3708006677634</v>
      </c>
      <c r="J52" s="88">
        <f t="shared" si="1"/>
        <v>8.3748320267105374</v>
      </c>
    </row>
    <row r="53" spans="1:10" s="3" customFormat="1" ht="26.25" thickBot="1" x14ac:dyDescent="0.25">
      <c r="B53" s="56"/>
      <c r="C53" s="89" t="s">
        <v>16</v>
      </c>
      <c r="D53" s="90">
        <f>D51</f>
        <v>0.7</v>
      </c>
      <c r="E53" s="91">
        <f>E51</f>
        <v>0.25</v>
      </c>
      <c r="F53" s="92">
        <f>D53*E53</f>
        <v>0.17499999999999999</v>
      </c>
      <c r="G53" s="93">
        <f>'ВЛ-6 (10) кВ'!D18</f>
        <v>4196.7998980047178</v>
      </c>
      <c r="H53" s="93">
        <f>G53/$D$12</f>
        <v>167.87199592018871</v>
      </c>
      <c r="I53" s="93">
        <f t="shared" si="0"/>
        <v>734.43998215082559</v>
      </c>
      <c r="J53" s="94">
        <f t="shared" si="1"/>
        <v>29.377599286033021</v>
      </c>
    </row>
    <row r="54" spans="1:10" s="3" customFormat="1" ht="16.5" thickBot="1" x14ac:dyDescent="0.25">
      <c r="B54" s="56"/>
      <c r="C54" s="124" t="s">
        <v>5</v>
      </c>
      <c r="D54" s="125"/>
      <c r="E54" s="126"/>
      <c r="F54" s="127"/>
      <c r="G54" s="128">
        <f>SUM(G50:G53)</f>
        <v>57165.629146240441</v>
      </c>
      <c r="H54" s="128">
        <f>SUM(H50:H53)</f>
        <v>2286.6251658496176</v>
      </c>
      <c r="I54" s="128">
        <f>SUM(I50:I53)</f>
        <v>10003.985100592074</v>
      </c>
      <c r="J54" s="129">
        <f>SUM(J50:J53)</f>
        <v>400.15940402368307</v>
      </c>
    </row>
    <row r="57" spans="1:10" ht="15.75" x14ac:dyDescent="0.25">
      <c r="B57" s="95" t="s">
        <v>48</v>
      </c>
    </row>
    <row r="58" spans="1:10" ht="20.25" customHeight="1" x14ac:dyDescent="0.25">
      <c r="A58" s="69"/>
      <c r="B58" s="4"/>
      <c r="C58" s="159"/>
      <c r="D58" s="159"/>
      <c r="E58" s="159"/>
      <c r="F58" s="159"/>
      <c r="G58" s="159"/>
      <c r="H58" s="159"/>
    </row>
    <row r="59" spans="1:10" ht="60" customHeight="1" x14ac:dyDescent="0.25">
      <c r="A59" s="69"/>
      <c r="B59" s="4"/>
      <c r="C59" s="159" t="s">
        <v>31</v>
      </c>
      <c r="D59" s="159"/>
      <c r="E59" s="159"/>
      <c r="F59" s="159"/>
      <c r="G59" s="159"/>
      <c r="H59" s="159"/>
    </row>
    <row r="60" spans="1:10" ht="36.75" customHeight="1" x14ac:dyDescent="0.25">
      <c r="A60" s="69"/>
      <c r="B60" s="4"/>
      <c r="C60" s="159" t="s">
        <v>32</v>
      </c>
      <c r="D60" s="159"/>
      <c r="E60" s="159"/>
      <c r="F60" s="159"/>
      <c r="G60" s="159"/>
      <c r="H60" s="159"/>
    </row>
    <row r="61" spans="1:10" ht="13.5" thickBot="1" x14ac:dyDescent="0.25">
      <c r="B61" s="6" t="s">
        <v>38</v>
      </c>
    </row>
    <row r="62" spans="1:10" x14ac:dyDescent="0.2">
      <c r="C62" s="96" t="s">
        <v>44</v>
      </c>
      <c r="D62" s="97">
        <f>D22</f>
        <v>120402.3838210259</v>
      </c>
    </row>
    <row r="63" spans="1:10" x14ac:dyDescent="0.2">
      <c r="C63" s="98" t="s">
        <v>45</v>
      </c>
      <c r="D63" s="99">
        <f>D23</f>
        <v>84281.668674718123</v>
      </c>
      <c r="E63" s="42"/>
    </row>
    <row r="64" spans="1:10" x14ac:dyDescent="0.2">
      <c r="C64" s="98" t="s">
        <v>40</v>
      </c>
      <c r="D64" s="99">
        <f>D24</f>
        <v>30000</v>
      </c>
      <c r="E64" s="42"/>
    </row>
    <row r="65" spans="1:10" x14ac:dyDescent="0.2">
      <c r="C65" s="100" t="s">
        <v>33</v>
      </c>
      <c r="D65" s="101">
        <f>SUM(D62:D64)</f>
        <v>234684.05249574402</v>
      </c>
      <c r="E65" s="42"/>
    </row>
    <row r="66" spans="1:10" ht="25.5" x14ac:dyDescent="0.2">
      <c r="C66" s="58" t="s">
        <v>39</v>
      </c>
      <c r="D66" s="102">
        <v>0.25</v>
      </c>
    </row>
    <row r="67" spans="1:10" x14ac:dyDescent="0.2">
      <c r="C67" s="103" t="s">
        <v>34</v>
      </c>
      <c r="D67" s="99">
        <f>D25</f>
        <v>65000</v>
      </c>
      <c r="E67" s="42"/>
    </row>
    <row r="68" spans="1:10" x14ac:dyDescent="0.2">
      <c r="C68" s="104" t="s">
        <v>35</v>
      </c>
      <c r="D68" s="101">
        <f>D67*D66</f>
        <v>16250</v>
      </c>
    </row>
    <row r="69" spans="1:10" ht="13.5" thickBot="1" x14ac:dyDescent="0.25">
      <c r="C69" s="105" t="s">
        <v>37</v>
      </c>
      <c r="D69" s="106">
        <f>SUM(D68,D65)</f>
        <v>250934.05249574402</v>
      </c>
    </row>
    <row r="70" spans="1:10" ht="17.25" thickBot="1" x14ac:dyDescent="0.35">
      <c r="B70" s="3"/>
      <c r="C70" s="107"/>
      <c r="D70" s="108"/>
    </row>
    <row r="71" spans="1:10" ht="25.5" x14ac:dyDescent="0.2">
      <c r="C71" s="48" t="s">
        <v>42</v>
      </c>
      <c r="D71" s="109">
        <f>D27</f>
        <v>5.4999999999999997E-3</v>
      </c>
    </row>
    <row r="72" spans="1:10" ht="26.25" thickBot="1" x14ac:dyDescent="0.25">
      <c r="C72" s="50" t="s">
        <v>41</v>
      </c>
      <c r="D72" s="110">
        <f>D28</f>
        <v>0.1</v>
      </c>
    </row>
    <row r="73" spans="1:10" x14ac:dyDescent="0.2">
      <c r="C73" s="46"/>
      <c r="D73" s="111"/>
    </row>
    <row r="74" spans="1:10" x14ac:dyDescent="0.2">
      <c r="A74" s="6"/>
      <c r="B74" s="6" t="s">
        <v>10</v>
      </c>
    </row>
    <row r="75" spans="1:10" x14ac:dyDescent="0.2">
      <c r="A75" s="6"/>
      <c r="C75" s="46" t="s">
        <v>23</v>
      </c>
    </row>
    <row r="76" spans="1:10" ht="13.5" thickBot="1" x14ac:dyDescent="0.25">
      <c r="B76" s="6"/>
    </row>
    <row r="77" spans="1:10" ht="15.75" customHeight="1" x14ac:dyDescent="0.2">
      <c r="A77" s="69"/>
      <c r="C77" s="112"/>
      <c r="D77" s="78"/>
      <c r="E77" s="79"/>
      <c r="F77" s="79"/>
      <c r="G77" s="157" t="s">
        <v>72</v>
      </c>
      <c r="H77" s="157"/>
      <c r="I77" s="157" t="s">
        <v>57</v>
      </c>
      <c r="J77" s="158"/>
    </row>
    <row r="78" spans="1:10" ht="55.5" customHeight="1" x14ac:dyDescent="0.2">
      <c r="A78" s="69"/>
      <c r="C78" s="80" t="s">
        <v>49</v>
      </c>
      <c r="D78" s="81" t="s">
        <v>19</v>
      </c>
      <c r="E78" s="81" t="s">
        <v>75</v>
      </c>
      <c r="F78" s="82" t="s">
        <v>76</v>
      </c>
      <c r="G78" s="82" t="s">
        <v>8</v>
      </c>
      <c r="H78" s="82" t="s">
        <v>14</v>
      </c>
      <c r="I78" s="82" t="s">
        <v>8</v>
      </c>
      <c r="J78" s="83" t="s">
        <v>14</v>
      </c>
    </row>
    <row r="79" spans="1:10" s="3" customFormat="1" ht="33" customHeight="1" x14ac:dyDescent="0.2">
      <c r="B79" s="56"/>
      <c r="C79" s="58" t="s">
        <v>20</v>
      </c>
      <c r="D79" s="84">
        <v>1</v>
      </c>
      <c r="E79" s="85">
        <v>1</v>
      </c>
      <c r="F79" s="86">
        <f t="shared" ref="F79:F80" si="2">D79*E79</f>
        <v>1</v>
      </c>
      <c r="G79" s="87">
        <f>D69*D71</f>
        <v>1380.137288726592</v>
      </c>
      <c r="H79" s="87">
        <f>G79/$D$12</f>
        <v>55.20549154906368</v>
      </c>
      <c r="I79" s="87">
        <f>G79*F79</f>
        <v>1380.137288726592</v>
      </c>
      <c r="J79" s="88">
        <f>H79*F79</f>
        <v>55.20549154906368</v>
      </c>
    </row>
    <row r="80" spans="1:10" s="3" customFormat="1" ht="33" customHeight="1" thickBot="1" x14ac:dyDescent="0.25">
      <c r="B80" s="56"/>
      <c r="C80" s="89" t="s">
        <v>21</v>
      </c>
      <c r="D80" s="90">
        <v>1</v>
      </c>
      <c r="E80" s="91">
        <v>1</v>
      </c>
      <c r="F80" s="92">
        <f t="shared" si="2"/>
        <v>1</v>
      </c>
      <c r="G80" s="93">
        <f>D69*D72</f>
        <v>25093.405249574404</v>
      </c>
      <c r="H80" s="93">
        <f>G80/$D$12</f>
        <v>1003.7362099829761</v>
      </c>
      <c r="I80" s="93">
        <f>G80*F80</f>
        <v>25093.405249574404</v>
      </c>
      <c r="J80" s="94">
        <f>H80*F80</f>
        <v>1003.7362099829761</v>
      </c>
    </row>
    <row r="81" spans="1:10" ht="16.5" thickBot="1" x14ac:dyDescent="0.25">
      <c r="C81" s="124" t="s">
        <v>5</v>
      </c>
      <c r="D81" s="130"/>
      <c r="E81" s="131"/>
      <c r="F81" s="132"/>
      <c r="G81" s="128">
        <f>SUM(G79:G80)</f>
        <v>26473.542538300997</v>
      </c>
      <c r="H81" s="128">
        <f>SUM(H79:H80)</f>
        <v>1058.9417015320398</v>
      </c>
      <c r="I81" s="128">
        <f>SUM(I79:I80)</f>
        <v>26473.542538300997</v>
      </c>
      <c r="J81" s="129">
        <f>SUM(J79:J80)</f>
        <v>1058.9417015320398</v>
      </c>
    </row>
    <row r="82" spans="1:10" x14ac:dyDescent="0.2">
      <c r="J82" s="42"/>
    </row>
    <row r="83" spans="1:10" ht="15.75" x14ac:dyDescent="0.25">
      <c r="B83" s="95" t="s">
        <v>50</v>
      </c>
      <c r="J83" s="42"/>
    </row>
    <row r="84" spans="1:10" ht="16.5" thickBot="1" x14ac:dyDescent="0.3">
      <c r="B84" s="95"/>
      <c r="J84" s="42"/>
    </row>
    <row r="85" spans="1:10" ht="15.75" customHeight="1" x14ac:dyDescent="0.2">
      <c r="A85" s="69"/>
      <c r="C85" s="77"/>
      <c r="D85" s="157" t="s">
        <v>52</v>
      </c>
      <c r="E85" s="158"/>
    </row>
    <row r="86" spans="1:10" ht="55.5" customHeight="1" x14ac:dyDescent="0.2">
      <c r="A86" s="69"/>
      <c r="C86" s="80" t="s">
        <v>55</v>
      </c>
      <c r="D86" s="82" t="s">
        <v>63</v>
      </c>
      <c r="E86" s="83" t="s">
        <v>14</v>
      </c>
    </row>
    <row r="87" spans="1:10" ht="30.75" customHeight="1" x14ac:dyDescent="0.2">
      <c r="A87" s="69"/>
      <c r="C87" s="80" t="s">
        <v>56</v>
      </c>
      <c r="D87" s="113">
        <f>I54</f>
        <v>10003.985100592074</v>
      </c>
      <c r="E87" s="114">
        <f>J54</f>
        <v>400.15940402368307</v>
      </c>
    </row>
    <row r="88" spans="1:10" ht="26.25" customHeight="1" x14ac:dyDescent="0.2">
      <c r="A88" s="69"/>
      <c r="B88" s="150"/>
      <c r="C88" s="80" t="s">
        <v>53</v>
      </c>
      <c r="D88" s="113">
        <f>I81</f>
        <v>26473.542538300997</v>
      </c>
      <c r="E88" s="114">
        <f>J81</f>
        <v>1058.9417015320398</v>
      </c>
    </row>
    <row r="89" spans="1:10" ht="26.25" customHeight="1" x14ac:dyDescent="0.2">
      <c r="A89" s="69"/>
      <c r="B89" s="115">
        <v>0.03</v>
      </c>
      <c r="C89" s="80" t="s">
        <v>54</v>
      </c>
      <c r="D89" s="113">
        <f>B89*(D88+D87)</f>
        <v>1094.3258291667921</v>
      </c>
      <c r="E89" s="114">
        <f>B89*(E88+E87)</f>
        <v>43.773033166671681</v>
      </c>
    </row>
    <row r="90" spans="1:10" ht="15.75" x14ac:dyDescent="0.25">
      <c r="B90" s="95"/>
      <c r="C90" s="104" t="s">
        <v>51</v>
      </c>
      <c r="D90" s="116">
        <f>SUM(D87:D89)</f>
        <v>37571.853468059868</v>
      </c>
      <c r="E90" s="117">
        <f>SUM(E87:E89)</f>
        <v>1502.8741387223945</v>
      </c>
    </row>
    <row r="91" spans="1:10" s="3" customFormat="1" x14ac:dyDescent="0.2">
      <c r="B91" s="56"/>
      <c r="C91" s="118" t="s">
        <v>9</v>
      </c>
      <c r="D91" s="119">
        <f>D90*$D$31</f>
        <v>11271.55604041796</v>
      </c>
      <c r="E91" s="120">
        <f>E90*$D$31</f>
        <v>450.86224161671834</v>
      </c>
    </row>
    <row r="92" spans="1:10" s="3" customFormat="1" x14ac:dyDescent="0.2">
      <c r="B92" s="56"/>
      <c r="C92" s="104" t="s">
        <v>59</v>
      </c>
      <c r="D92" s="116">
        <f>SUM(D90:D91)</f>
        <v>48843.409508477824</v>
      </c>
      <c r="E92" s="117">
        <f>SUM(E90:E91)</f>
        <v>1953.7363803391129</v>
      </c>
    </row>
    <row r="93" spans="1:10" s="3" customFormat="1" x14ac:dyDescent="0.2">
      <c r="B93" s="56"/>
      <c r="C93" s="118" t="s">
        <v>12</v>
      </c>
      <c r="D93" s="119">
        <f>D92*(1/(1-$D$32)-1)</f>
        <v>8619.425207378441</v>
      </c>
      <c r="E93" s="120">
        <f>E92*(1/(1-$D$32)-1)</f>
        <v>344.77700829513765</v>
      </c>
    </row>
    <row r="94" spans="1:10" s="3" customFormat="1" x14ac:dyDescent="0.2">
      <c r="B94" s="56"/>
      <c r="C94" s="104" t="s">
        <v>13</v>
      </c>
      <c r="D94" s="116">
        <f>SUM(D92:D93)</f>
        <v>57462.834715856268</v>
      </c>
      <c r="E94" s="117">
        <f>SUM(E92:E93)</f>
        <v>2298.5133886342505</v>
      </c>
    </row>
    <row r="95" spans="1:10" s="3" customFormat="1" ht="33" customHeight="1" x14ac:dyDescent="0.2">
      <c r="B95" s="56"/>
      <c r="C95" s="118" t="s">
        <v>15</v>
      </c>
      <c r="D95" s="119">
        <f>D94*$D$33</f>
        <v>2873.1417357928135</v>
      </c>
      <c r="E95" s="120">
        <f>E94*$D$33</f>
        <v>114.92566943171254</v>
      </c>
    </row>
    <row r="96" spans="1:10" s="3" customFormat="1" ht="20.25" customHeight="1" thickBot="1" x14ac:dyDescent="0.25">
      <c r="B96" s="56"/>
      <c r="C96" s="133" t="s">
        <v>22</v>
      </c>
      <c r="D96" s="134">
        <f>SUM(D94:D95)</f>
        <v>60335.976451649083</v>
      </c>
      <c r="E96" s="135">
        <f>SUM(E94:E95)</f>
        <v>2413.4390580659629</v>
      </c>
    </row>
    <row r="97" spans="3:5" ht="13.5" thickBot="1" x14ac:dyDescent="0.25">
      <c r="E97" s="42"/>
    </row>
    <row r="98" spans="3:5" ht="25.5" x14ac:dyDescent="0.2">
      <c r="C98" s="121"/>
      <c r="D98" s="122" t="s">
        <v>61</v>
      </c>
      <c r="E98" s="123" t="s">
        <v>62</v>
      </c>
    </row>
    <row r="99" spans="3:5" ht="19.5" customHeight="1" thickBot="1" x14ac:dyDescent="0.25">
      <c r="C99" s="133" t="s">
        <v>22</v>
      </c>
      <c r="D99" s="136">
        <f>D96/12</f>
        <v>5027.9980376374233</v>
      </c>
      <c r="E99" s="137">
        <f>E96/12</f>
        <v>201.1199215054969</v>
      </c>
    </row>
  </sheetData>
  <mergeCells count="11">
    <mergeCell ref="D85:E85"/>
    <mergeCell ref="G48:H48"/>
    <mergeCell ref="I48:J48"/>
    <mergeCell ref="C58:H58"/>
    <mergeCell ref="C59:H59"/>
    <mergeCell ref="C60:H60"/>
    <mergeCell ref="C5:J5"/>
    <mergeCell ref="A2:J2"/>
    <mergeCell ref="A4:J4"/>
    <mergeCell ref="G77:H77"/>
    <mergeCell ref="I77:J77"/>
  </mergeCells>
  <pageMargins left="0.25" right="0.25" top="0.75" bottom="0.75" header="0.3" footer="0.3"/>
  <pageSetup paperSize="9" scale="75" fitToHeight="0" orientation="landscape" r:id="rId1"/>
  <rowBreaks count="3" manualBreakCount="3">
    <brk id="36" max="16383" man="1"/>
    <brk id="56" max="16383" man="1"/>
    <brk id="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J102"/>
  <sheetViews>
    <sheetView view="pageBreakPreview" zoomScale="85" zoomScaleNormal="85" zoomScaleSheetLayoutView="85" workbookViewId="0">
      <pane xSplit="3" ySplit="11" topLeftCell="D12" activePane="bottomRight" state="frozen"/>
      <selection activeCell="G21" activeCellId="1" sqref="F21 G21"/>
      <selection pane="topRight" activeCell="G21" activeCellId="1" sqref="F21 G21"/>
      <selection pane="bottomLeft" activeCell="G21" activeCellId="1" sqref="F21 G21"/>
      <selection pane="bottomRight" sqref="A1:XFD4"/>
    </sheetView>
  </sheetViews>
  <sheetFormatPr defaultColWidth="9.140625" defaultRowHeight="12.75" outlineLevelRow="2" x14ac:dyDescent="0.2"/>
  <cols>
    <col min="1" max="1" width="3.85546875" style="1" customWidth="1"/>
    <col min="2" max="2" width="5.42578125" style="1" customWidth="1"/>
    <col min="3" max="3" width="68.5703125" style="1" customWidth="1"/>
    <col min="4" max="10" width="15.85546875" style="1" customWidth="1"/>
    <col min="11" max="14" width="15" style="1" customWidth="1"/>
    <col min="15" max="15" width="15.5703125" style="1" customWidth="1"/>
    <col min="16" max="16" width="16.5703125" style="1" customWidth="1"/>
    <col min="17" max="19" width="15" style="1" customWidth="1"/>
    <col min="20" max="20" width="17" style="1" customWidth="1"/>
    <col min="21" max="27" width="15.42578125" style="1" customWidth="1"/>
    <col min="28" max="28" width="16.5703125" style="1" customWidth="1"/>
    <col min="29" max="29" width="17.42578125" style="1" customWidth="1"/>
    <col min="30" max="30" width="17.140625" style="1" customWidth="1"/>
    <col min="31" max="31" width="17.42578125" style="1" customWidth="1"/>
    <col min="32" max="32" width="16.7109375" style="1" customWidth="1"/>
    <col min="33" max="33" width="17.42578125" style="1" customWidth="1"/>
    <col min="34" max="34" width="17.28515625" style="1" customWidth="1"/>
    <col min="35" max="35" width="18.140625" style="1" customWidth="1"/>
    <col min="36" max="36" width="16.28515625" style="1" customWidth="1"/>
    <col min="37" max="16384" width="9.140625" style="1"/>
  </cols>
  <sheetData>
    <row r="3" spans="1:10" ht="18" x14ac:dyDescent="0.25">
      <c r="A3" s="162" t="s">
        <v>81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0" ht="11.25" customHeight="1" x14ac:dyDescent="0.2"/>
    <row r="5" spans="1:10" ht="18" x14ac:dyDescent="0.25">
      <c r="A5" s="162" t="s">
        <v>82</v>
      </c>
      <c r="B5" s="162"/>
      <c r="C5" s="162"/>
      <c r="D5" s="162"/>
      <c r="E5" s="162"/>
      <c r="F5" s="162"/>
      <c r="G5" s="162"/>
      <c r="H5" s="162"/>
      <c r="I5" s="162"/>
      <c r="J5" s="162"/>
    </row>
    <row r="6" spans="1:10" ht="16.5" customHeight="1" x14ac:dyDescent="0.2">
      <c r="B6" s="3"/>
      <c r="C6" s="161" t="s">
        <v>83</v>
      </c>
      <c r="D6" s="161"/>
      <c r="E6" s="161"/>
      <c r="F6" s="161"/>
      <c r="G6" s="161"/>
      <c r="H6" s="161"/>
      <c r="I6" s="161"/>
      <c r="J6" s="161"/>
    </row>
    <row r="7" spans="1:10" ht="24.6" customHeight="1" x14ac:dyDescent="0.25">
      <c r="A7" s="4" t="s">
        <v>43</v>
      </c>
      <c r="C7" s="5" t="s">
        <v>111</v>
      </c>
    </row>
    <row r="8" spans="1:10" ht="18" outlineLevel="1" x14ac:dyDescent="0.25">
      <c r="A8" s="4"/>
      <c r="C8" s="5" t="s">
        <v>60</v>
      </c>
    </row>
    <row r="9" spans="1:10" ht="15.75" outlineLevel="1" x14ac:dyDescent="0.25">
      <c r="A9" s="6"/>
      <c r="B9" s="4" t="s">
        <v>112</v>
      </c>
      <c r="C9" s="4"/>
    </row>
    <row r="10" spans="1:10" s="8" customFormat="1" ht="10.5" customHeight="1" outlineLevel="1" thickBot="1" x14ac:dyDescent="0.35">
      <c r="A10" s="7"/>
      <c r="B10" s="1"/>
      <c r="C10" s="1"/>
      <c r="D10" s="1"/>
    </row>
    <row r="11" spans="1:10" s="8" customFormat="1" ht="50.25" customHeight="1" outlineLevel="1" x14ac:dyDescent="0.3">
      <c r="A11" s="143"/>
      <c r="B11" s="1"/>
      <c r="C11" s="10" t="s">
        <v>114</v>
      </c>
      <c r="D11" s="11" t="s">
        <v>84</v>
      </c>
    </row>
    <row r="12" spans="1:10" s="8" customFormat="1" ht="16.5" outlineLevel="1" x14ac:dyDescent="0.3">
      <c r="A12" s="7"/>
      <c r="B12" s="1"/>
      <c r="C12" s="12" t="s">
        <v>28</v>
      </c>
      <c r="D12" s="13">
        <v>3</v>
      </c>
    </row>
    <row r="13" spans="1:10" s="8" customFormat="1" ht="17.25" outlineLevel="1" thickBot="1" x14ac:dyDescent="0.35">
      <c r="A13" s="7"/>
      <c r="B13" s="1"/>
      <c r="C13" s="16" t="s">
        <v>85</v>
      </c>
      <c r="D13" s="17">
        <v>15</v>
      </c>
    </row>
    <row r="14" spans="1:10" s="8" customFormat="1" ht="5.25" customHeight="1" outlineLevel="1" thickBot="1" x14ac:dyDescent="0.35">
      <c r="A14" s="7"/>
      <c r="B14" s="1"/>
      <c r="C14" s="18"/>
      <c r="D14" s="19"/>
    </row>
    <row r="15" spans="1:10" s="8" customFormat="1" ht="16.5" outlineLevel="1" x14ac:dyDescent="0.3">
      <c r="A15" s="7"/>
      <c r="B15" s="1"/>
      <c r="C15" s="20" t="s">
        <v>26</v>
      </c>
      <c r="D15" s="21">
        <v>50</v>
      </c>
    </row>
    <row r="16" spans="1:10" s="8" customFormat="1" ht="16.5" outlineLevel="1" x14ac:dyDescent="0.3">
      <c r="A16" s="7"/>
      <c r="B16" s="1"/>
      <c r="C16" s="22" t="s">
        <v>86</v>
      </c>
      <c r="D16" s="23">
        <f>3656874.24</f>
        <v>3656874.24</v>
      </c>
    </row>
    <row r="17" spans="1:6" s="8" customFormat="1" ht="17.25" outlineLevel="1" thickBot="1" x14ac:dyDescent="0.35">
      <c r="A17" s="7"/>
      <c r="B17" s="1"/>
      <c r="C17" s="16" t="s">
        <v>87</v>
      </c>
      <c r="D17" s="26">
        <f>D16/D15</f>
        <v>73137.484800000006</v>
      </c>
    </row>
    <row r="18" spans="1:6" s="8" customFormat="1" ht="3.75" customHeight="1" outlineLevel="1" thickBot="1" x14ac:dyDescent="0.35">
      <c r="A18" s="7"/>
      <c r="B18" s="1"/>
      <c r="C18" s="18"/>
      <c r="D18" s="27"/>
    </row>
    <row r="19" spans="1:6" s="8" customFormat="1" ht="16.5" outlineLevel="1" x14ac:dyDescent="0.3">
      <c r="A19" s="7"/>
      <c r="B19" s="1"/>
      <c r="C19" s="28" t="s">
        <v>88</v>
      </c>
      <c r="D19" s="29">
        <f>'ВЛ-6 (10) кВ'!D18/10*15</f>
        <v>6295.1998470070766</v>
      </c>
    </row>
    <row r="20" spans="1:6" s="8" customFormat="1" ht="16.5" outlineLevel="1" x14ac:dyDescent="0.3">
      <c r="A20" s="7"/>
      <c r="B20" s="1"/>
      <c r="C20" s="31" t="s">
        <v>89</v>
      </c>
      <c r="D20" s="32">
        <f>'ВЛ-6 (10) кВ'!D19/'ВЛ-6 (10) кВ'!D12*'ВЛ 35 кВ'!D13*1.1</f>
        <v>18306.448659174301</v>
      </c>
      <c r="E20" s="37"/>
    </row>
    <row r="21" spans="1:6" s="8" customFormat="1" ht="17.25" outlineLevel="1" thickBot="1" x14ac:dyDescent="0.35">
      <c r="A21" s="7"/>
      <c r="B21" s="1"/>
      <c r="C21" s="33" t="s">
        <v>1</v>
      </c>
      <c r="D21" s="34">
        <f>'ВЛ-6 (10) кВ'!D20/'ВЛ-6 (10) кВ'!D12*'ВЛ 35 кВ'!D13*1.1</f>
        <v>789.62701966127929</v>
      </c>
    </row>
    <row r="22" spans="1:6" s="8" customFormat="1" ht="17.25" outlineLevel="1" thickBot="1" x14ac:dyDescent="0.35">
      <c r="A22" s="7"/>
      <c r="B22" s="1"/>
      <c r="C22" s="36"/>
      <c r="D22" s="37"/>
    </row>
    <row r="23" spans="1:6" ht="16.5" outlineLevel="1" x14ac:dyDescent="0.3">
      <c r="C23" s="38" t="s">
        <v>90</v>
      </c>
      <c r="D23" s="39">
        <f>'ВЛ 110 кВ'!D22*0.7</f>
        <v>212468.61987749996</v>
      </c>
      <c r="E23" s="144"/>
    </row>
    <row r="24" spans="1:6" ht="16.5" outlineLevel="1" x14ac:dyDescent="0.3">
      <c r="C24" s="40" t="s">
        <v>91</v>
      </c>
      <c r="D24" s="41">
        <f>D23*0.7</f>
        <v>148728.03391424997</v>
      </c>
      <c r="E24" s="42"/>
    </row>
    <row r="25" spans="1:6" ht="16.5" outlineLevel="1" x14ac:dyDescent="0.3">
      <c r="C25" s="40" t="s">
        <v>40</v>
      </c>
      <c r="D25" s="43">
        <v>23000</v>
      </c>
      <c r="E25" s="42"/>
    </row>
    <row r="26" spans="1:6" ht="17.25" outlineLevel="1" thickBot="1" x14ac:dyDescent="0.35">
      <c r="C26" s="44" t="s">
        <v>92</v>
      </c>
      <c r="D26" s="45">
        <v>115000</v>
      </c>
    </row>
    <row r="27" spans="1:6" ht="17.25" outlineLevel="1" thickBot="1" x14ac:dyDescent="0.35">
      <c r="C27" s="46"/>
      <c r="D27" s="47"/>
    </row>
    <row r="28" spans="1:6" ht="25.5" outlineLevel="1" x14ac:dyDescent="0.2">
      <c r="C28" s="48" t="s">
        <v>24</v>
      </c>
      <c r="D28" s="49">
        <v>2.5000000000000001E-3</v>
      </c>
    </row>
    <row r="29" spans="1:6" ht="26.25" outlineLevel="1" thickBot="1" x14ac:dyDescent="0.25">
      <c r="C29" s="50" t="s">
        <v>25</v>
      </c>
      <c r="D29" s="51">
        <v>0.1</v>
      </c>
    </row>
    <row r="30" spans="1:6" s="8" customFormat="1" ht="16.5" outlineLevel="1" x14ac:dyDescent="0.3">
      <c r="A30" s="7"/>
      <c r="B30" s="3"/>
      <c r="C30" s="36"/>
      <c r="D30" s="37"/>
    </row>
    <row r="31" spans="1:6" ht="17.25" outlineLevel="1" thickBot="1" x14ac:dyDescent="0.25">
      <c r="B31" s="6" t="s">
        <v>11</v>
      </c>
      <c r="C31" s="52"/>
      <c r="D31" s="53"/>
      <c r="E31" s="54"/>
      <c r="F31" s="55"/>
    </row>
    <row r="32" spans="1:6" ht="16.5" outlineLevel="1" x14ac:dyDescent="0.2">
      <c r="B32" s="56"/>
      <c r="C32" s="48" t="s">
        <v>7</v>
      </c>
      <c r="D32" s="57">
        <v>0.3</v>
      </c>
    </row>
    <row r="33" spans="1:10" ht="16.5" outlineLevel="1" x14ac:dyDescent="0.2">
      <c r="B33" s="56"/>
      <c r="C33" s="58" t="s">
        <v>3</v>
      </c>
      <c r="D33" s="59">
        <v>0.15</v>
      </c>
    </row>
    <row r="34" spans="1:10" ht="17.25" outlineLevel="1" thickBot="1" x14ac:dyDescent="0.25">
      <c r="B34" s="56"/>
      <c r="C34" s="50" t="s">
        <v>15</v>
      </c>
      <c r="D34" s="60">
        <v>0.05</v>
      </c>
    </row>
    <row r="35" spans="1:10" ht="17.25" hidden="1" outlineLevel="2" thickBot="1" x14ac:dyDescent="0.35">
      <c r="C35" s="50" t="s">
        <v>18</v>
      </c>
      <c r="D35" s="142">
        <v>0.15</v>
      </c>
      <c r="E35" s="63"/>
    </row>
    <row r="36" spans="1:10" s="65" customFormat="1" ht="15.75" outlineLevel="1" collapsed="1" x14ac:dyDescent="0.25">
      <c r="A36" s="64"/>
    </row>
    <row r="37" spans="1:10" ht="15.75" outlineLevel="1" x14ac:dyDescent="0.25">
      <c r="A37" s="4"/>
      <c r="B37" s="4" t="s">
        <v>113</v>
      </c>
    </row>
    <row r="38" spans="1:10" ht="12" customHeight="1" outlineLevel="1" x14ac:dyDescent="0.25">
      <c r="A38" s="4"/>
    </row>
    <row r="39" spans="1:10" ht="15.75" outlineLevel="1" x14ac:dyDescent="0.25">
      <c r="B39" s="6" t="s">
        <v>4</v>
      </c>
      <c r="C39" s="4"/>
    </row>
    <row r="40" spans="1:10" s="3" customFormat="1" ht="6.75" customHeight="1" outlineLevel="1" x14ac:dyDescent="0.2">
      <c r="C40" s="46"/>
      <c r="D40" s="66"/>
      <c r="E40" s="66"/>
      <c r="F40" s="67"/>
      <c r="G40" s="68"/>
      <c r="H40" s="68"/>
    </row>
    <row r="41" spans="1:10" ht="13.5" outlineLevel="1" thickBot="1" x14ac:dyDescent="0.25">
      <c r="A41" s="69"/>
      <c r="C41" s="70" t="s">
        <v>93</v>
      </c>
      <c r="D41" s="3"/>
    </row>
    <row r="42" spans="1:10" outlineLevel="1" x14ac:dyDescent="0.2">
      <c r="A42" s="69"/>
      <c r="C42" s="71" t="s">
        <v>47</v>
      </c>
      <c r="D42" s="72">
        <v>1</v>
      </c>
    </row>
    <row r="43" spans="1:10" ht="13.5" outlineLevel="1" thickBot="1" x14ac:dyDescent="0.25">
      <c r="A43" s="69"/>
      <c r="C43" s="73" t="s">
        <v>6</v>
      </c>
      <c r="D43" s="74">
        <f>D42+D12</f>
        <v>4</v>
      </c>
    </row>
    <row r="44" spans="1:10" outlineLevel="1" x14ac:dyDescent="0.2">
      <c r="A44" s="69"/>
      <c r="C44" s="145"/>
      <c r="D44" s="146"/>
    </row>
    <row r="45" spans="1:10" outlineLevel="1" x14ac:dyDescent="0.2">
      <c r="A45" s="6"/>
      <c r="B45" s="6" t="s">
        <v>10</v>
      </c>
    </row>
    <row r="46" spans="1:10" outlineLevel="1" x14ac:dyDescent="0.2">
      <c r="A46" s="6"/>
      <c r="C46" s="46" t="s">
        <v>23</v>
      </c>
    </row>
    <row r="47" spans="1:10" ht="13.5" outlineLevel="1" thickBot="1" x14ac:dyDescent="0.25">
      <c r="A47" s="69"/>
      <c r="C47" s="3"/>
      <c r="D47" s="76"/>
    </row>
    <row r="48" spans="1:10" ht="15.75" customHeight="1" outlineLevel="1" x14ac:dyDescent="0.2">
      <c r="A48" s="69"/>
      <c r="C48" s="77"/>
      <c r="D48" s="78"/>
      <c r="E48" s="79"/>
      <c r="F48" s="79"/>
      <c r="G48" s="157" t="s">
        <v>115</v>
      </c>
      <c r="H48" s="157"/>
      <c r="I48" s="157" t="s">
        <v>94</v>
      </c>
      <c r="J48" s="158"/>
    </row>
    <row r="49" spans="1:10" ht="55.5" customHeight="1" outlineLevel="1" x14ac:dyDescent="0.2">
      <c r="A49" s="69"/>
      <c r="C49" s="80" t="s">
        <v>95</v>
      </c>
      <c r="D49" s="81" t="s">
        <v>19</v>
      </c>
      <c r="E49" s="81" t="s">
        <v>96</v>
      </c>
      <c r="F49" s="82" t="s">
        <v>97</v>
      </c>
      <c r="G49" s="82" t="s">
        <v>98</v>
      </c>
      <c r="H49" s="82" t="s">
        <v>14</v>
      </c>
      <c r="I49" s="82" t="s">
        <v>8</v>
      </c>
      <c r="J49" s="83" t="s">
        <v>14</v>
      </c>
    </row>
    <row r="50" spans="1:10" ht="25.5" outlineLevel="1" x14ac:dyDescent="0.2">
      <c r="B50" s="56"/>
      <c r="C50" s="58" t="s">
        <v>17</v>
      </c>
      <c r="D50" s="84">
        <v>0.6</v>
      </c>
      <c r="E50" s="85">
        <f>D42/D43</f>
        <v>0.25</v>
      </c>
      <c r="F50" s="86">
        <f>D50*E50</f>
        <v>0.15</v>
      </c>
      <c r="G50" s="87">
        <f>D17</f>
        <v>73137.484800000006</v>
      </c>
      <c r="H50" s="87">
        <f>G50/$D$13</f>
        <v>4875.8323200000004</v>
      </c>
      <c r="I50" s="87">
        <f>G50*F50</f>
        <v>10970.622720000001</v>
      </c>
      <c r="J50" s="88">
        <f>H50*F50</f>
        <v>731.37484800000004</v>
      </c>
    </row>
    <row r="51" spans="1:10" ht="25.5" outlineLevel="1" x14ac:dyDescent="0.2">
      <c r="B51" s="56"/>
      <c r="C51" s="58" t="s">
        <v>99</v>
      </c>
      <c r="D51" s="84">
        <f>D50</f>
        <v>0.6</v>
      </c>
      <c r="E51" s="85">
        <f>E50</f>
        <v>0.25</v>
      </c>
      <c r="F51" s="86">
        <f>D51*E51</f>
        <v>0.15</v>
      </c>
      <c r="G51" s="87">
        <f>D20</f>
        <v>18306.448659174301</v>
      </c>
      <c r="H51" s="87">
        <f>G51/$D$13</f>
        <v>1220.42991061162</v>
      </c>
      <c r="I51" s="87">
        <f t="shared" ref="I51:I53" si="0">G51*F51</f>
        <v>2745.9672988761449</v>
      </c>
      <c r="J51" s="88">
        <f t="shared" ref="J51:J53" si="1">H51*F51</f>
        <v>183.06448659174299</v>
      </c>
    </row>
    <row r="52" spans="1:10" ht="25.5" outlineLevel="1" x14ac:dyDescent="0.2">
      <c r="B52" s="56"/>
      <c r="C52" s="58" t="s">
        <v>100</v>
      </c>
      <c r="D52" s="84">
        <f>D51</f>
        <v>0.6</v>
      </c>
      <c r="E52" s="85">
        <f>E51</f>
        <v>0.25</v>
      </c>
      <c r="F52" s="86">
        <f>D52*E52</f>
        <v>0.15</v>
      </c>
      <c r="G52" s="87">
        <f>D21</f>
        <v>789.62701966127929</v>
      </c>
      <c r="H52" s="87">
        <f>G52/$D$13</f>
        <v>52.641801310751951</v>
      </c>
      <c r="I52" s="87">
        <f t="shared" si="0"/>
        <v>118.44405294919189</v>
      </c>
      <c r="J52" s="88">
        <f t="shared" si="1"/>
        <v>7.8962701966127922</v>
      </c>
    </row>
    <row r="53" spans="1:10" s="3" customFormat="1" ht="26.25" outlineLevel="1" thickBot="1" x14ac:dyDescent="0.25">
      <c r="B53" s="56"/>
      <c r="C53" s="89" t="s">
        <v>16</v>
      </c>
      <c r="D53" s="90">
        <f>D51</f>
        <v>0.6</v>
      </c>
      <c r="E53" s="91">
        <f>E51</f>
        <v>0.25</v>
      </c>
      <c r="F53" s="92">
        <f>D53*E53</f>
        <v>0.15</v>
      </c>
      <c r="G53" s="93">
        <f>D19</f>
        <v>6295.1998470070766</v>
      </c>
      <c r="H53" s="93">
        <f>G53/$D$13</f>
        <v>419.67998980047179</v>
      </c>
      <c r="I53" s="93">
        <f t="shared" si="0"/>
        <v>944.27997705106145</v>
      </c>
      <c r="J53" s="94">
        <f t="shared" si="1"/>
        <v>62.951998470070762</v>
      </c>
    </row>
    <row r="54" spans="1:10" s="3" customFormat="1" ht="16.5" outlineLevel="1" thickBot="1" x14ac:dyDescent="0.25">
      <c r="B54" s="56"/>
      <c r="C54" s="124" t="s">
        <v>5</v>
      </c>
      <c r="D54" s="125"/>
      <c r="E54" s="126"/>
      <c r="F54" s="127"/>
      <c r="G54" s="128">
        <f>SUM(G50:G53)</f>
        <v>98528.760325842668</v>
      </c>
      <c r="H54" s="128">
        <f>SUM(H50:H53)</f>
        <v>6568.5840217228451</v>
      </c>
      <c r="I54" s="128">
        <f>SUM(I50:I53)</f>
        <v>14779.314048876398</v>
      </c>
      <c r="J54" s="129">
        <f>SUM(J50:J53)</f>
        <v>985.28760325842666</v>
      </c>
    </row>
    <row r="55" spans="1:10" outlineLevel="1" x14ac:dyDescent="0.2"/>
    <row r="56" spans="1:10" outlineLevel="1" x14ac:dyDescent="0.2"/>
    <row r="57" spans="1:10" ht="15.75" outlineLevel="1" x14ac:dyDescent="0.25">
      <c r="B57" s="95" t="s">
        <v>101</v>
      </c>
    </row>
    <row r="58" spans="1:10" ht="15" customHeight="1" outlineLevel="1" x14ac:dyDescent="0.2">
      <c r="A58" s="69"/>
      <c r="B58" s="6" t="s">
        <v>102</v>
      </c>
      <c r="D58" s="6"/>
      <c r="E58" s="6"/>
      <c r="F58" s="6"/>
      <c r="G58" s="6"/>
      <c r="H58" s="6"/>
    </row>
    <row r="59" spans="1:10" ht="46.5" customHeight="1" outlineLevel="1" x14ac:dyDescent="0.25">
      <c r="A59" s="69"/>
      <c r="B59" s="4"/>
      <c r="C59" s="159" t="s">
        <v>103</v>
      </c>
      <c r="D59" s="159"/>
      <c r="E59" s="159"/>
      <c r="F59" s="159"/>
      <c r="G59" s="159"/>
      <c r="H59" s="159"/>
    </row>
    <row r="60" spans="1:10" ht="27.75" customHeight="1" outlineLevel="1" x14ac:dyDescent="0.25">
      <c r="A60" s="69"/>
      <c r="B60" s="4"/>
      <c r="C60" s="159" t="s">
        <v>104</v>
      </c>
      <c r="D60" s="159"/>
      <c r="E60" s="159"/>
      <c r="F60" s="159"/>
      <c r="G60" s="159"/>
      <c r="H60" s="159"/>
    </row>
    <row r="61" spans="1:10" ht="13.5" outlineLevel="1" thickBot="1" x14ac:dyDescent="0.25">
      <c r="B61" s="6" t="s">
        <v>38</v>
      </c>
    </row>
    <row r="62" spans="1:10" outlineLevel="1" x14ac:dyDescent="0.2">
      <c r="C62" s="96" t="s">
        <v>44</v>
      </c>
      <c r="D62" s="97">
        <f>D23</f>
        <v>212468.61987749996</v>
      </c>
    </row>
    <row r="63" spans="1:10" outlineLevel="1" x14ac:dyDescent="0.2">
      <c r="C63" s="98" t="s">
        <v>45</v>
      </c>
      <c r="D63" s="99">
        <f>D24</f>
        <v>148728.03391424997</v>
      </c>
      <c r="E63" s="42"/>
    </row>
    <row r="64" spans="1:10" outlineLevel="1" x14ac:dyDescent="0.2">
      <c r="C64" s="98" t="s">
        <v>40</v>
      </c>
      <c r="D64" s="99">
        <f>D25</f>
        <v>23000</v>
      </c>
      <c r="E64" s="42"/>
    </row>
    <row r="65" spans="1:10" outlineLevel="1" x14ac:dyDescent="0.2">
      <c r="C65" s="100" t="s">
        <v>33</v>
      </c>
      <c r="D65" s="101">
        <f>SUM(D62:D64)</f>
        <v>384196.65379174997</v>
      </c>
      <c r="E65" s="42"/>
    </row>
    <row r="66" spans="1:10" ht="25.5" outlineLevel="1" x14ac:dyDescent="0.2">
      <c r="C66" s="58" t="s">
        <v>39</v>
      </c>
      <c r="D66" s="102">
        <v>0.25</v>
      </c>
    </row>
    <row r="67" spans="1:10" outlineLevel="1" x14ac:dyDescent="0.2">
      <c r="C67" s="103" t="s">
        <v>34</v>
      </c>
      <c r="D67" s="99">
        <f>D26</f>
        <v>115000</v>
      </c>
      <c r="E67" s="42"/>
    </row>
    <row r="68" spans="1:10" outlineLevel="1" x14ac:dyDescent="0.2">
      <c r="C68" s="104" t="s">
        <v>35</v>
      </c>
      <c r="D68" s="101">
        <f>D67*D66</f>
        <v>28750</v>
      </c>
    </row>
    <row r="69" spans="1:10" ht="13.5" outlineLevel="1" thickBot="1" x14ac:dyDescent="0.25">
      <c r="C69" s="105" t="s">
        <v>37</v>
      </c>
      <c r="D69" s="106">
        <f>SUM(D68,D65)</f>
        <v>412946.65379174997</v>
      </c>
    </row>
    <row r="70" spans="1:10" ht="17.25" outlineLevel="1" thickBot="1" x14ac:dyDescent="0.35">
      <c r="B70" s="3"/>
      <c r="C70" s="107"/>
      <c r="D70" s="108"/>
    </row>
    <row r="71" spans="1:10" ht="25.5" outlineLevel="1" x14ac:dyDescent="0.2">
      <c r="C71" s="48" t="s">
        <v>105</v>
      </c>
      <c r="D71" s="109">
        <f>D28</f>
        <v>2.5000000000000001E-3</v>
      </c>
    </row>
    <row r="72" spans="1:10" ht="26.25" outlineLevel="1" thickBot="1" x14ac:dyDescent="0.25">
      <c r="C72" s="50" t="s">
        <v>106</v>
      </c>
      <c r="D72" s="110">
        <f>D29</f>
        <v>0.1</v>
      </c>
    </row>
    <row r="73" spans="1:10" outlineLevel="1" x14ac:dyDescent="0.2">
      <c r="C73" s="46"/>
      <c r="D73" s="111"/>
    </row>
    <row r="74" spans="1:10" ht="16.5" outlineLevel="1" x14ac:dyDescent="0.3">
      <c r="A74" s="6"/>
      <c r="B74" s="147" t="s">
        <v>107</v>
      </c>
    </row>
    <row r="75" spans="1:10" ht="16.5" outlineLevel="1" x14ac:dyDescent="0.2">
      <c r="A75" s="6"/>
      <c r="C75" s="148" t="s">
        <v>23</v>
      </c>
    </row>
    <row r="76" spans="1:10" ht="9" customHeight="1" outlineLevel="1" thickBot="1" x14ac:dyDescent="0.25">
      <c r="B76" s="6"/>
    </row>
    <row r="77" spans="1:10" ht="15.75" customHeight="1" outlineLevel="1" x14ac:dyDescent="0.2">
      <c r="A77" s="69"/>
      <c r="C77" s="112"/>
      <c r="D77" s="78"/>
      <c r="E77" s="79"/>
      <c r="F77" s="79"/>
      <c r="G77" s="157" t="s">
        <v>116</v>
      </c>
      <c r="H77" s="157"/>
      <c r="I77" s="157" t="s">
        <v>94</v>
      </c>
      <c r="J77" s="158"/>
    </row>
    <row r="78" spans="1:10" ht="55.5" customHeight="1" outlineLevel="1" x14ac:dyDescent="0.2">
      <c r="A78" s="69"/>
      <c r="C78" s="80" t="s">
        <v>49</v>
      </c>
      <c r="D78" s="81" t="s">
        <v>19</v>
      </c>
      <c r="E78" s="81" t="s">
        <v>96</v>
      </c>
      <c r="F78" s="82" t="s">
        <v>97</v>
      </c>
      <c r="G78" s="82" t="s">
        <v>8</v>
      </c>
      <c r="H78" s="82" t="s">
        <v>14</v>
      </c>
      <c r="I78" s="82" t="s">
        <v>8</v>
      </c>
      <c r="J78" s="83" t="s">
        <v>14</v>
      </c>
    </row>
    <row r="79" spans="1:10" s="3" customFormat="1" ht="33" customHeight="1" outlineLevel="1" x14ac:dyDescent="0.2">
      <c r="B79" s="56"/>
      <c r="C79" s="58" t="s">
        <v>20</v>
      </c>
      <c r="D79" s="84">
        <v>1</v>
      </c>
      <c r="E79" s="85">
        <v>1</v>
      </c>
      <c r="F79" s="86">
        <f t="shared" ref="F79:F80" si="2">D79*E79</f>
        <v>1</v>
      </c>
      <c r="G79" s="87">
        <f>D69*D71</f>
        <v>1032.3666344793749</v>
      </c>
      <c r="H79" s="87">
        <f>G79/$D$13</f>
        <v>68.824442298624987</v>
      </c>
      <c r="I79" s="87">
        <f>G79*F79</f>
        <v>1032.3666344793749</v>
      </c>
      <c r="J79" s="88">
        <f>H79*F79</f>
        <v>68.824442298624987</v>
      </c>
    </row>
    <row r="80" spans="1:10" s="3" customFormat="1" ht="33" customHeight="1" outlineLevel="1" thickBot="1" x14ac:dyDescent="0.25">
      <c r="B80" s="56"/>
      <c r="C80" s="89" t="s">
        <v>21</v>
      </c>
      <c r="D80" s="90">
        <v>1</v>
      </c>
      <c r="E80" s="91">
        <v>1</v>
      </c>
      <c r="F80" s="92">
        <f t="shared" si="2"/>
        <v>1</v>
      </c>
      <c r="G80" s="93">
        <f>D69*D72</f>
        <v>41294.665379175</v>
      </c>
      <c r="H80" s="93">
        <f>G80/$D$13</f>
        <v>2752.9776919450001</v>
      </c>
      <c r="I80" s="93">
        <f>G80*F80</f>
        <v>41294.665379175</v>
      </c>
      <c r="J80" s="94">
        <f>H80*F80</f>
        <v>2752.9776919450001</v>
      </c>
    </row>
    <row r="81" spans="1:10" ht="16.5" outlineLevel="1" thickBot="1" x14ac:dyDescent="0.25">
      <c r="C81" s="124" t="s">
        <v>5</v>
      </c>
      <c r="D81" s="130"/>
      <c r="E81" s="131"/>
      <c r="F81" s="132"/>
      <c r="G81" s="128">
        <f>SUM(G79:G80)</f>
        <v>42327.032013654374</v>
      </c>
      <c r="H81" s="128">
        <f>SUM(H79:H80)</f>
        <v>2821.802134243625</v>
      </c>
      <c r="I81" s="128">
        <f>SUM(I79:I80)</f>
        <v>42327.032013654374</v>
      </c>
      <c r="J81" s="129">
        <f>SUM(J79:J80)</f>
        <v>2821.802134243625</v>
      </c>
    </row>
    <row r="82" spans="1:10" outlineLevel="1" x14ac:dyDescent="0.2">
      <c r="J82" s="42"/>
    </row>
    <row r="83" spans="1:10" ht="15.75" x14ac:dyDescent="0.25">
      <c r="B83" s="95" t="s">
        <v>123</v>
      </c>
      <c r="J83" s="42"/>
    </row>
    <row r="84" spans="1:10" ht="16.5" thickBot="1" x14ac:dyDescent="0.3">
      <c r="B84" s="95"/>
    </row>
    <row r="85" spans="1:10" ht="15.75" customHeight="1" x14ac:dyDescent="0.2">
      <c r="A85" s="69"/>
      <c r="C85" s="77"/>
      <c r="D85" s="157" t="s">
        <v>52</v>
      </c>
      <c r="E85" s="158"/>
    </row>
    <row r="86" spans="1:10" ht="55.5" customHeight="1" x14ac:dyDescent="0.2">
      <c r="A86" s="69"/>
      <c r="C86" s="80" t="s">
        <v>55</v>
      </c>
      <c r="D86" s="82" t="s">
        <v>98</v>
      </c>
      <c r="E86" s="83" t="s">
        <v>14</v>
      </c>
    </row>
    <row r="87" spans="1:10" ht="30.75" customHeight="1" x14ac:dyDescent="0.2">
      <c r="A87" s="69"/>
      <c r="C87" s="80" t="s">
        <v>56</v>
      </c>
      <c r="D87" s="113">
        <f>I54</f>
        <v>14779.314048876398</v>
      </c>
      <c r="E87" s="114">
        <f>J54</f>
        <v>985.28760325842666</v>
      </c>
    </row>
    <row r="88" spans="1:10" ht="26.25" customHeight="1" x14ac:dyDescent="0.2">
      <c r="A88" s="69"/>
      <c r="C88" s="80" t="s">
        <v>108</v>
      </c>
      <c r="D88" s="113">
        <f>I81</f>
        <v>42327.032013654374</v>
      </c>
      <c r="E88" s="114">
        <f>J81</f>
        <v>2821.802134243625</v>
      </c>
    </row>
    <row r="89" spans="1:10" ht="26.25" customHeight="1" x14ac:dyDescent="0.2">
      <c r="A89" s="69"/>
      <c r="B89" s="149">
        <v>0.03</v>
      </c>
      <c r="C89" s="80" t="s">
        <v>54</v>
      </c>
      <c r="D89" s="113">
        <f>B89*(D88+D87)</f>
        <v>1713.1903818759231</v>
      </c>
      <c r="E89" s="114">
        <f>B89*(E88+E87)</f>
        <v>114.21269212506155</v>
      </c>
    </row>
    <row r="90" spans="1:10" ht="15.75" x14ac:dyDescent="0.25">
      <c r="B90" s="95"/>
      <c r="C90" s="104" t="s">
        <v>51</v>
      </c>
      <c r="D90" s="116">
        <f>SUM(D87:D89)</f>
        <v>58819.536444406694</v>
      </c>
      <c r="E90" s="117">
        <f>SUM(E87:E89)</f>
        <v>3921.3024296271133</v>
      </c>
    </row>
    <row r="91" spans="1:10" s="3" customFormat="1" x14ac:dyDescent="0.2">
      <c r="B91" s="56"/>
      <c r="C91" s="118" t="s">
        <v>9</v>
      </c>
      <c r="D91" s="119">
        <f>D90*$D$32</f>
        <v>17645.860933322008</v>
      </c>
      <c r="E91" s="120">
        <f>E90*$D$32</f>
        <v>1176.3907288881339</v>
      </c>
    </row>
    <row r="92" spans="1:10" s="3" customFormat="1" x14ac:dyDescent="0.2">
      <c r="B92" s="56"/>
      <c r="C92" s="104" t="s">
        <v>109</v>
      </c>
      <c r="D92" s="116">
        <f>SUM(D90:D91)</f>
        <v>76465.397377728703</v>
      </c>
      <c r="E92" s="117">
        <f>SUM(E90:E91)</f>
        <v>5097.693158515247</v>
      </c>
    </row>
    <row r="93" spans="1:10" s="3" customFormat="1" x14ac:dyDescent="0.2">
      <c r="B93" s="56"/>
      <c r="C93" s="118" t="s">
        <v>12</v>
      </c>
      <c r="D93" s="119">
        <f>D92*(1/(1-$D$33)-1)</f>
        <v>13493.893654893303</v>
      </c>
      <c r="E93" s="120">
        <f>E92*(1/(1-$D$33)-1)</f>
        <v>899.59291032622025</v>
      </c>
    </row>
    <row r="94" spans="1:10" s="3" customFormat="1" x14ac:dyDescent="0.2">
      <c r="B94" s="56"/>
      <c r="C94" s="104" t="s">
        <v>13</v>
      </c>
      <c r="D94" s="116">
        <f>SUM(D92:D93)</f>
        <v>89959.291032622001</v>
      </c>
      <c r="E94" s="117">
        <f>SUM(E92:E93)</f>
        <v>5997.2860688414676</v>
      </c>
    </row>
    <row r="95" spans="1:10" s="3" customFormat="1" ht="33" customHeight="1" x14ac:dyDescent="0.2">
      <c r="B95" s="56"/>
      <c r="C95" s="118" t="s">
        <v>15</v>
      </c>
      <c r="D95" s="119">
        <f>D94*$D$34</f>
        <v>4497.9645516311002</v>
      </c>
      <c r="E95" s="120">
        <f>E94*$D$34</f>
        <v>299.86430344207338</v>
      </c>
    </row>
    <row r="96" spans="1:10" s="3" customFormat="1" ht="20.25" customHeight="1" thickBot="1" x14ac:dyDescent="0.25">
      <c r="B96" s="56"/>
      <c r="C96" s="133" t="s">
        <v>22</v>
      </c>
      <c r="D96" s="134">
        <f>SUM(D94:D95)</f>
        <v>94457.2555842531</v>
      </c>
      <c r="E96" s="135">
        <f>SUM(E94:E95)</f>
        <v>6297.1503722835405</v>
      </c>
    </row>
    <row r="97" spans="3:8" ht="13.5" thickBot="1" x14ac:dyDescent="0.25">
      <c r="E97" s="42"/>
    </row>
    <row r="98" spans="3:8" ht="25.5" x14ac:dyDescent="0.2">
      <c r="C98" s="121"/>
      <c r="D98" s="122" t="s">
        <v>110</v>
      </c>
      <c r="E98" s="123" t="s">
        <v>62</v>
      </c>
    </row>
    <row r="99" spans="3:8" ht="19.5" customHeight="1" thickBot="1" x14ac:dyDescent="0.25">
      <c r="C99" s="133" t="s">
        <v>22</v>
      </c>
      <c r="D99" s="136">
        <f>D96/12</f>
        <v>7871.4379653544247</v>
      </c>
      <c r="E99" s="137">
        <f>E96/12</f>
        <v>524.76253102362841</v>
      </c>
    </row>
    <row r="100" spans="3:8" x14ac:dyDescent="0.2">
      <c r="D100" s="42">
        <f>D99-D101</f>
        <v>2059.0723609158831</v>
      </c>
      <c r="E100" s="42">
        <f>E99-E101</f>
        <v>137.27149072772562</v>
      </c>
      <c r="F100" s="42">
        <f>E99-E100</f>
        <v>387.49104029590279</v>
      </c>
    </row>
    <row r="101" spans="3:8" x14ac:dyDescent="0.2">
      <c r="D101" s="1">
        <v>5812.3656044385416</v>
      </c>
      <c r="E101" s="1">
        <v>387.49104029590279</v>
      </c>
    </row>
    <row r="102" spans="3:8" ht="19.5" customHeight="1" x14ac:dyDescent="0.2">
      <c r="C102" s="163"/>
      <c r="D102" s="163"/>
      <c r="E102" s="163"/>
      <c r="F102" s="163"/>
      <c r="G102" s="163"/>
      <c r="H102" s="163"/>
    </row>
  </sheetData>
  <mergeCells count="11">
    <mergeCell ref="C59:H59"/>
    <mergeCell ref="A3:J3"/>
    <mergeCell ref="A5:J5"/>
    <mergeCell ref="C6:J6"/>
    <mergeCell ref="G48:H48"/>
    <mergeCell ref="I48:J48"/>
    <mergeCell ref="C60:H60"/>
    <mergeCell ref="G77:H77"/>
    <mergeCell ref="I77:J77"/>
    <mergeCell ref="D85:E85"/>
    <mergeCell ref="C102:H102"/>
  </mergeCells>
  <pageMargins left="0.70866141732283472" right="0.70866141732283472" top="0.74803149606299213" bottom="0.74803149606299213" header="0.31496062992125984" footer="0.31496062992125984"/>
  <pageSetup paperSize="9" scale="68" fitToHeight="4" orientation="landscape" r:id="rId1"/>
  <rowBreaks count="3" manualBreakCount="3">
    <brk id="36" max="16383" man="1"/>
    <brk id="56" max="16383" man="1"/>
    <brk id="8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J101"/>
  <sheetViews>
    <sheetView tabSelected="1" view="pageBreakPreview" zoomScale="85" zoomScaleNormal="85" zoomScaleSheetLayoutView="85" workbookViewId="0">
      <pane xSplit="3" ySplit="10" topLeftCell="D11" activePane="bottomRight" state="frozen"/>
      <selection activeCell="G21" activeCellId="1" sqref="F21 G21"/>
      <selection pane="topRight" activeCell="G21" activeCellId="1" sqref="F21 G21"/>
      <selection pane="bottomLeft" activeCell="G21" activeCellId="1" sqref="F21 G21"/>
      <selection pane="bottomRight" sqref="A1:XFD5"/>
    </sheetView>
  </sheetViews>
  <sheetFormatPr defaultColWidth="9.140625" defaultRowHeight="12.75" outlineLevelRow="2" x14ac:dyDescent="0.2"/>
  <cols>
    <col min="1" max="1" width="3.85546875" style="1" customWidth="1"/>
    <col min="2" max="2" width="5.42578125" style="1" customWidth="1"/>
    <col min="3" max="3" width="68.5703125" style="1" customWidth="1"/>
    <col min="4" max="10" width="15.85546875" style="1" customWidth="1"/>
    <col min="11" max="14" width="15" style="1" customWidth="1"/>
    <col min="15" max="15" width="15.5703125" style="1" customWidth="1"/>
    <col min="16" max="16" width="16.5703125" style="1" customWidth="1"/>
    <col min="17" max="19" width="15" style="1" customWidth="1"/>
    <col min="20" max="20" width="17" style="1" customWidth="1"/>
    <col min="21" max="27" width="15.42578125" style="1" customWidth="1"/>
    <col min="28" max="28" width="16.5703125" style="1" customWidth="1"/>
    <col min="29" max="29" width="17.42578125" style="1" customWidth="1"/>
    <col min="30" max="30" width="17.140625" style="1" customWidth="1"/>
    <col min="31" max="31" width="17.42578125" style="1" customWidth="1"/>
    <col min="32" max="32" width="16.7109375" style="1" customWidth="1"/>
    <col min="33" max="33" width="17.42578125" style="1" customWidth="1"/>
    <col min="34" max="34" width="17.28515625" style="1" customWidth="1"/>
    <col min="35" max="35" width="18.140625" style="1" customWidth="1"/>
    <col min="36" max="36" width="16.28515625" style="1" customWidth="1"/>
    <col min="37" max="16384" width="9.140625" style="1"/>
  </cols>
  <sheetData>
    <row r="2" spans="1:10" ht="18" x14ac:dyDescent="0.25">
      <c r="A2" s="162" t="s">
        <v>81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 ht="11.25" customHeight="1" x14ac:dyDescent="0.2"/>
    <row r="4" spans="1:10" ht="18" x14ac:dyDescent="0.25">
      <c r="A4" s="162" t="s">
        <v>82</v>
      </c>
      <c r="B4" s="162"/>
      <c r="C4" s="162"/>
      <c r="D4" s="162"/>
      <c r="E4" s="162"/>
      <c r="F4" s="162"/>
      <c r="G4" s="162"/>
      <c r="H4" s="162"/>
      <c r="I4" s="162"/>
      <c r="J4" s="162"/>
    </row>
    <row r="5" spans="1:10" ht="16.5" customHeight="1" x14ac:dyDescent="0.2">
      <c r="B5" s="3"/>
      <c r="C5" s="161" t="s">
        <v>83</v>
      </c>
      <c r="D5" s="161"/>
      <c r="E5" s="161"/>
      <c r="F5" s="161"/>
      <c r="G5" s="161"/>
      <c r="H5" s="161"/>
      <c r="I5" s="161"/>
      <c r="J5" s="161"/>
    </row>
    <row r="6" spans="1:10" ht="24.6" customHeight="1" x14ac:dyDescent="0.25">
      <c r="A6" s="4" t="s">
        <v>43</v>
      </c>
      <c r="C6" s="5" t="s">
        <v>117</v>
      </c>
    </row>
    <row r="7" spans="1:10" ht="18" outlineLevel="1" x14ac:dyDescent="0.25">
      <c r="A7" s="4"/>
      <c r="C7" s="5" t="s">
        <v>60</v>
      </c>
    </row>
    <row r="8" spans="1:10" ht="15.75" outlineLevel="1" x14ac:dyDescent="0.25">
      <c r="A8" s="6"/>
      <c r="B8" s="4" t="s">
        <v>118</v>
      </c>
      <c r="C8" s="4"/>
    </row>
    <row r="9" spans="1:10" s="8" customFormat="1" ht="10.5" customHeight="1" outlineLevel="1" thickBot="1" x14ac:dyDescent="0.35">
      <c r="A9" s="7"/>
      <c r="B9" s="1"/>
      <c r="C9" s="1"/>
      <c r="D9" s="1"/>
    </row>
    <row r="10" spans="1:10" s="8" customFormat="1" ht="50.25" customHeight="1" outlineLevel="1" x14ac:dyDescent="0.3">
      <c r="A10" s="143"/>
      <c r="B10" s="1"/>
      <c r="C10" s="10" t="s">
        <v>124</v>
      </c>
      <c r="D10" s="11" t="s">
        <v>84</v>
      </c>
    </row>
    <row r="11" spans="1:10" s="8" customFormat="1" ht="16.5" outlineLevel="1" x14ac:dyDescent="0.3">
      <c r="A11" s="7"/>
      <c r="B11" s="1"/>
      <c r="C11" s="12" t="s">
        <v>28</v>
      </c>
      <c r="D11" s="13">
        <v>3</v>
      </c>
    </row>
    <row r="12" spans="1:10" s="8" customFormat="1" ht="17.25" outlineLevel="1" thickBot="1" x14ac:dyDescent="0.35">
      <c r="A12" s="7"/>
      <c r="B12" s="1"/>
      <c r="C12" s="16" t="s">
        <v>85</v>
      </c>
      <c r="D12" s="17">
        <v>7</v>
      </c>
    </row>
    <row r="13" spans="1:10" s="8" customFormat="1" ht="5.25" customHeight="1" outlineLevel="1" thickBot="1" x14ac:dyDescent="0.35">
      <c r="A13" s="7"/>
      <c r="B13" s="1"/>
      <c r="C13" s="18"/>
      <c r="D13" s="19"/>
    </row>
    <row r="14" spans="1:10" s="8" customFormat="1" ht="16.5" outlineLevel="1" x14ac:dyDescent="0.3">
      <c r="A14" s="7"/>
      <c r="B14" s="1"/>
      <c r="C14" s="20" t="s">
        <v>26</v>
      </c>
      <c r="D14" s="21">
        <v>50</v>
      </c>
    </row>
    <row r="15" spans="1:10" s="8" customFormat="1" ht="16.5" outlineLevel="1" x14ac:dyDescent="0.3">
      <c r="A15" s="7"/>
      <c r="B15" s="1"/>
      <c r="C15" s="22" t="s">
        <v>86</v>
      </c>
      <c r="D15" s="23">
        <f>4530603.47</f>
        <v>4530603.47</v>
      </c>
    </row>
    <row r="16" spans="1:10" s="8" customFormat="1" ht="17.25" outlineLevel="1" thickBot="1" x14ac:dyDescent="0.35">
      <c r="A16" s="7"/>
      <c r="B16" s="1"/>
      <c r="C16" s="16" t="s">
        <v>87</v>
      </c>
      <c r="D16" s="26">
        <f>D15/D14</f>
        <v>90612.069399999993</v>
      </c>
    </row>
    <row r="17" spans="1:6" s="8" customFormat="1" ht="3.75" customHeight="1" outlineLevel="1" thickBot="1" x14ac:dyDescent="0.35">
      <c r="A17" s="7"/>
      <c r="B17" s="1"/>
      <c r="C17" s="18"/>
      <c r="D17" s="27"/>
    </row>
    <row r="18" spans="1:6" s="8" customFormat="1" ht="16.5" outlineLevel="1" x14ac:dyDescent="0.3">
      <c r="A18" s="7"/>
      <c r="B18" s="1"/>
      <c r="C18" s="28" t="s">
        <v>88</v>
      </c>
      <c r="D18" s="29">
        <f>'ВЛ 35 кВ'!D19/15*20</f>
        <v>8393.5997960094355</v>
      </c>
    </row>
    <row r="19" spans="1:6" s="8" customFormat="1" ht="16.5" outlineLevel="1" x14ac:dyDescent="0.3">
      <c r="A19" s="7"/>
      <c r="B19" s="1"/>
      <c r="C19" s="31" t="s">
        <v>89</v>
      </c>
      <c r="D19" s="32">
        <f>'ВЛ 35 кВ'!D20/'ВЛ 35 кВ'!D13*'ВЛ 110 кВ'!D12*1.1</f>
        <v>9397.3103117094761</v>
      </c>
      <c r="E19" s="37"/>
    </row>
    <row r="20" spans="1:6" s="8" customFormat="1" ht="17.25" outlineLevel="1" thickBot="1" x14ac:dyDescent="0.35">
      <c r="A20" s="7"/>
      <c r="B20" s="1"/>
      <c r="C20" s="33" t="s">
        <v>1</v>
      </c>
      <c r="D20" s="34">
        <f>'ВЛ 35 кВ'!D21/'ВЛ 35 кВ'!D13*'ВЛ 110 кВ'!D12*1.1</f>
        <v>405.34187009279009</v>
      </c>
    </row>
    <row r="21" spans="1:6" s="8" customFormat="1" ht="17.25" outlineLevel="1" thickBot="1" x14ac:dyDescent="0.35">
      <c r="A21" s="7"/>
      <c r="B21" s="1"/>
      <c r="C21" s="36"/>
      <c r="D21" s="37"/>
    </row>
    <row r="22" spans="1:6" ht="16.5" outlineLevel="1" x14ac:dyDescent="0.3">
      <c r="C22" s="38" t="s">
        <v>90</v>
      </c>
      <c r="D22" s="39">
        <f>404702.1331/4*3</f>
        <v>303526.59982499998</v>
      </c>
      <c r="E22" s="144"/>
    </row>
    <row r="23" spans="1:6" ht="16.5" outlineLevel="1" x14ac:dyDescent="0.3">
      <c r="C23" s="40" t="s">
        <v>91</v>
      </c>
      <c r="D23" s="41">
        <f>D22*0.7</f>
        <v>212468.61987749996</v>
      </c>
      <c r="E23" s="42"/>
    </row>
    <row r="24" spans="1:6" ht="16.5" outlineLevel="1" x14ac:dyDescent="0.3">
      <c r="C24" s="40" t="s">
        <v>40</v>
      </c>
      <c r="D24" s="43">
        <v>22000</v>
      </c>
      <c r="E24" s="42"/>
    </row>
    <row r="25" spans="1:6" ht="17.25" outlineLevel="1" thickBot="1" x14ac:dyDescent="0.35">
      <c r="C25" s="44" t="s">
        <v>92</v>
      </c>
      <c r="D25" s="45">
        <v>130000</v>
      </c>
    </row>
    <row r="26" spans="1:6" ht="17.25" outlineLevel="1" thickBot="1" x14ac:dyDescent="0.35">
      <c r="C26" s="46"/>
      <c r="D26" s="47"/>
    </row>
    <row r="27" spans="1:6" ht="25.5" outlineLevel="1" x14ac:dyDescent="0.2">
      <c r="C27" s="48" t="s">
        <v>24</v>
      </c>
      <c r="D27" s="49">
        <v>1.5E-3</v>
      </c>
    </row>
    <row r="28" spans="1:6" ht="26.25" outlineLevel="1" thickBot="1" x14ac:dyDescent="0.25">
      <c r="C28" s="50" t="s">
        <v>25</v>
      </c>
      <c r="D28" s="51">
        <v>0.1</v>
      </c>
    </row>
    <row r="29" spans="1:6" s="8" customFormat="1" ht="16.5" outlineLevel="1" x14ac:dyDescent="0.3">
      <c r="A29" s="7"/>
      <c r="B29" s="3"/>
      <c r="C29" s="36"/>
      <c r="D29" s="37"/>
    </row>
    <row r="30" spans="1:6" ht="17.25" outlineLevel="1" thickBot="1" x14ac:dyDescent="0.25">
      <c r="B30" s="6" t="s">
        <v>11</v>
      </c>
      <c r="C30" s="52"/>
      <c r="D30" s="53"/>
      <c r="E30" s="54"/>
      <c r="F30" s="55"/>
    </row>
    <row r="31" spans="1:6" ht="16.5" outlineLevel="1" x14ac:dyDescent="0.2">
      <c r="B31" s="56"/>
      <c r="C31" s="48" t="s">
        <v>7</v>
      </c>
      <c r="D31" s="57">
        <v>0.3</v>
      </c>
    </row>
    <row r="32" spans="1:6" ht="16.5" outlineLevel="1" x14ac:dyDescent="0.2">
      <c r="B32" s="56"/>
      <c r="C32" s="58" t="s">
        <v>3</v>
      </c>
      <c r="D32" s="59">
        <v>0.15</v>
      </c>
    </row>
    <row r="33" spans="1:10" ht="17.25" outlineLevel="1" thickBot="1" x14ac:dyDescent="0.25">
      <c r="B33" s="56"/>
      <c r="C33" s="50" t="s">
        <v>15</v>
      </c>
      <c r="D33" s="60">
        <v>0.05</v>
      </c>
    </row>
    <row r="34" spans="1:10" ht="17.25" hidden="1" outlineLevel="2" thickBot="1" x14ac:dyDescent="0.35">
      <c r="C34" s="50" t="s">
        <v>18</v>
      </c>
      <c r="D34" s="142">
        <v>0.15</v>
      </c>
      <c r="E34" s="63"/>
    </row>
    <row r="35" spans="1:10" s="65" customFormat="1" ht="15.75" outlineLevel="1" collapsed="1" x14ac:dyDescent="0.25">
      <c r="A35" s="64"/>
    </row>
    <row r="36" spans="1:10" ht="15.75" outlineLevel="1" x14ac:dyDescent="0.25">
      <c r="A36" s="4"/>
      <c r="B36" s="4" t="s">
        <v>119</v>
      </c>
    </row>
    <row r="37" spans="1:10" ht="12" customHeight="1" outlineLevel="1" x14ac:dyDescent="0.25">
      <c r="A37" s="4"/>
    </row>
    <row r="38" spans="1:10" ht="15.75" outlineLevel="1" x14ac:dyDescent="0.25">
      <c r="B38" s="6" t="s">
        <v>4</v>
      </c>
      <c r="C38" s="4"/>
    </row>
    <row r="39" spans="1:10" s="3" customFormat="1" ht="6.75" customHeight="1" outlineLevel="1" x14ac:dyDescent="0.2">
      <c r="C39" s="46"/>
      <c r="D39" s="66"/>
      <c r="E39" s="66"/>
      <c r="F39" s="67"/>
      <c r="G39" s="68"/>
      <c r="H39" s="68"/>
    </row>
    <row r="40" spans="1:10" ht="13.5" outlineLevel="1" thickBot="1" x14ac:dyDescent="0.25">
      <c r="A40" s="69"/>
      <c r="C40" s="70" t="s">
        <v>93</v>
      </c>
      <c r="D40" s="3"/>
    </row>
    <row r="41" spans="1:10" outlineLevel="1" x14ac:dyDescent="0.2">
      <c r="A41" s="69"/>
      <c r="C41" s="71" t="s">
        <v>47</v>
      </c>
      <c r="D41" s="72">
        <v>1</v>
      </c>
    </row>
    <row r="42" spans="1:10" ht="13.5" outlineLevel="1" thickBot="1" x14ac:dyDescent="0.25">
      <c r="A42" s="69"/>
      <c r="C42" s="73" t="s">
        <v>6</v>
      </c>
      <c r="D42" s="74">
        <f>D41+D11</f>
        <v>4</v>
      </c>
    </row>
    <row r="43" spans="1:10" outlineLevel="1" x14ac:dyDescent="0.2">
      <c r="A43" s="69"/>
      <c r="C43" s="145"/>
      <c r="D43" s="146"/>
    </row>
    <row r="44" spans="1:10" outlineLevel="1" x14ac:dyDescent="0.2">
      <c r="A44" s="6"/>
      <c r="B44" s="6" t="s">
        <v>10</v>
      </c>
    </row>
    <row r="45" spans="1:10" outlineLevel="1" x14ac:dyDescent="0.2">
      <c r="A45" s="6"/>
      <c r="C45" s="46" t="s">
        <v>23</v>
      </c>
    </row>
    <row r="46" spans="1:10" ht="13.5" outlineLevel="1" thickBot="1" x14ac:dyDescent="0.25">
      <c r="A46" s="69"/>
      <c r="C46" s="3"/>
      <c r="D46" s="76"/>
    </row>
    <row r="47" spans="1:10" ht="15.75" customHeight="1" outlineLevel="1" x14ac:dyDescent="0.2">
      <c r="A47" s="69"/>
      <c r="C47" s="77"/>
      <c r="D47" s="78"/>
      <c r="E47" s="79"/>
      <c r="F47" s="79"/>
      <c r="G47" s="157" t="s">
        <v>120</v>
      </c>
      <c r="H47" s="157"/>
      <c r="I47" s="157" t="s">
        <v>94</v>
      </c>
      <c r="J47" s="158"/>
    </row>
    <row r="48" spans="1:10" ht="55.5" customHeight="1" outlineLevel="1" x14ac:dyDescent="0.2">
      <c r="A48" s="69"/>
      <c r="C48" s="80" t="s">
        <v>95</v>
      </c>
      <c r="D48" s="81" t="s">
        <v>19</v>
      </c>
      <c r="E48" s="81" t="s">
        <v>96</v>
      </c>
      <c r="F48" s="82" t="s">
        <v>97</v>
      </c>
      <c r="G48" s="82" t="s">
        <v>98</v>
      </c>
      <c r="H48" s="82" t="s">
        <v>14</v>
      </c>
      <c r="I48" s="82" t="s">
        <v>8</v>
      </c>
      <c r="J48" s="83" t="s">
        <v>14</v>
      </c>
    </row>
    <row r="49" spans="1:10" ht="25.5" outlineLevel="1" x14ac:dyDescent="0.2">
      <c r="B49" s="56"/>
      <c r="C49" s="58" t="s">
        <v>17</v>
      </c>
      <c r="D49" s="84">
        <v>0.5</v>
      </c>
      <c r="E49" s="85">
        <f>D41/D42</f>
        <v>0.25</v>
      </c>
      <c r="F49" s="86">
        <f>D49*E49</f>
        <v>0.125</v>
      </c>
      <c r="G49" s="87">
        <f>D16</f>
        <v>90612.069399999993</v>
      </c>
      <c r="H49" s="87">
        <f>G49/$D$12</f>
        <v>12944.581342857142</v>
      </c>
      <c r="I49" s="87">
        <f>G49*F49</f>
        <v>11326.508674999999</v>
      </c>
      <c r="J49" s="88">
        <f>H49*F49</f>
        <v>1618.0726678571427</v>
      </c>
    </row>
    <row r="50" spans="1:10" ht="25.5" outlineLevel="1" x14ac:dyDescent="0.2">
      <c r="B50" s="56"/>
      <c r="C50" s="58" t="s">
        <v>99</v>
      </c>
      <c r="D50" s="84">
        <f>D49</f>
        <v>0.5</v>
      </c>
      <c r="E50" s="85">
        <f>E49</f>
        <v>0.25</v>
      </c>
      <c r="F50" s="86">
        <f>D50*E50</f>
        <v>0.125</v>
      </c>
      <c r="G50" s="87">
        <f>D19</f>
        <v>9397.3103117094761</v>
      </c>
      <c r="H50" s="87">
        <f>G50/$D$12</f>
        <v>1342.4729016727822</v>
      </c>
      <c r="I50" s="87">
        <f t="shared" ref="I50:I52" si="0">G50*F50</f>
        <v>1174.6637889636845</v>
      </c>
      <c r="J50" s="88">
        <f t="shared" ref="J50:J52" si="1">H50*F50</f>
        <v>167.80911270909777</v>
      </c>
    </row>
    <row r="51" spans="1:10" ht="25.5" outlineLevel="1" x14ac:dyDescent="0.2">
      <c r="B51" s="56"/>
      <c r="C51" s="58" t="s">
        <v>100</v>
      </c>
      <c r="D51" s="84">
        <f>D50</f>
        <v>0.5</v>
      </c>
      <c r="E51" s="85">
        <f>E50</f>
        <v>0.25</v>
      </c>
      <c r="F51" s="86">
        <f>D51*E51</f>
        <v>0.125</v>
      </c>
      <c r="G51" s="87">
        <f>D20</f>
        <v>405.34187009279009</v>
      </c>
      <c r="H51" s="87">
        <f>G51/$D$12</f>
        <v>57.905981441827159</v>
      </c>
      <c r="I51" s="87">
        <f t="shared" si="0"/>
        <v>50.667733761598761</v>
      </c>
      <c r="J51" s="88">
        <f t="shared" si="1"/>
        <v>7.2382476802283948</v>
      </c>
    </row>
    <row r="52" spans="1:10" s="3" customFormat="1" ht="26.25" outlineLevel="1" thickBot="1" x14ac:dyDescent="0.25">
      <c r="B52" s="56"/>
      <c r="C52" s="89" t="s">
        <v>16</v>
      </c>
      <c r="D52" s="90">
        <f>D50</f>
        <v>0.5</v>
      </c>
      <c r="E52" s="91">
        <f>E50</f>
        <v>0.25</v>
      </c>
      <c r="F52" s="92">
        <f>D52*E52</f>
        <v>0.125</v>
      </c>
      <c r="G52" s="93">
        <f>D18</f>
        <v>8393.5997960094355</v>
      </c>
      <c r="H52" s="93">
        <f>G52/$D$12</f>
        <v>1199.0856851442052</v>
      </c>
      <c r="I52" s="93">
        <f t="shared" si="0"/>
        <v>1049.1999745011794</v>
      </c>
      <c r="J52" s="94">
        <f t="shared" si="1"/>
        <v>149.88571064302565</v>
      </c>
    </row>
    <row r="53" spans="1:10" s="3" customFormat="1" ht="16.5" outlineLevel="1" thickBot="1" x14ac:dyDescent="0.25">
      <c r="B53" s="56"/>
      <c r="C53" s="124" t="s">
        <v>5</v>
      </c>
      <c r="D53" s="125"/>
      <c r="E53" s="126"/>
      <c r="F53" s="127"/>
      <c r="G53" s="128">
        <f>SUM(G49:G52)</f>
        <v>108808.32137781169</v>
      </c>
      <c r="H53" s="128">
        <f>SUM(H49:H52)</f>
        <v>15544.045911115956</v>
      </c>
      <c r="I53" s="128">
        <f>SUM(I49:I52)</f>
        <v>13601.040172226461</v>
      </c>
      <c r="J53" s="129">
        <f>SUM(J49:J52)</f>
        <v>1943.0057388894945</v>
      </c>
    </row>
    <row r="54" spans="1:10" outlineLevel="1" x14ac:dyDescent="0.2"/>
    <row r="55" spans="1:10" outlineLevel="1" x14ac:dyDescent="0.2"/>
    <row r="56" spans="1:10" ht="15.75" outlineLevel="1" x14ac:dyDescent="0.25">
      <c r="B56" s="95" t="s">
        <v>101</v>
      </c>
    </row>
    <row r="57" spans="1:10" ht="15" customHeight="1" outlineLevel="1" x14ac:dyDescent="0.2">
      <c r="A57" s="69"/>
      <c r="B57" s="6" t="s">
        <v>102</v>
      </c>
      <c r="D57" s="6"/>
      <c r="E57" s="6"/>
      <c r="F57" s="6"/>
      <c r="G57" s="6"/>
      <c r="H57" s="6"/>
    </row>
    <row r="58" spans="1:10" ht="46.5" customHeight="1" outlineLevel="1" x14ac:dyDescent="0.25">
      <c r="A58" s="69"/>
      <c r="B58" s="4"/>
      <c r="C58" s="159" t="s">
        <v>103</v>
      </c>
      <c r="D58" s="159"/>
      <c r="E58" s="159"/>
      <c r="F58" s="159"/>
      <c r="G58" s="159"/>
      <c r="H58" s="159"/>
    </row>
    <row r="59" spans="1:10" ht="27.75" customHeight="1" outlineLevel="1" x14ac:dyDescent="0.25">
      <c r="A59" s="69"/>
      <c r="B59" s="4"/>
      <c r="C59" s="159" t="s">
        <v>104</v>
      </c>
      <c r="D59" s="159"/>
      <c r="E59" s="159"/>
      <c r="F59" s="159"/>
      <c r="G59" s="159"/>
      <c r="H59" s="159"/>
    </row>
    <row r="60" spans="1:10" ht="13.5" outlineLevel="1" thickBot="1" x14ac:dyDescent="0.25">
      <c r="B60" s="6" t="s">
        <v>38</v>
      </c>
    </row>
    <row r="61" spans="1:10" outlineLevel="1" x14ac:dyDescent="0.2">
      <c r="C61" s="96" t="s">
        <v>44</v>
      </c>
      <c r="D61" s="97">
        <f>D22</f>
        <v>303526.59982499998</v>
      </c>
    </row>
    <row r="62" spans="1:10" outlineLevel="1" x14ac:dyDescent="0.2">
      <c r="C62" s="98" t="s">
        <v>45</v>
      </c>
      <c r="D62" s="99">
        <f>D23</f>
        <v>212468.61987749996</v>
      </c>
      <c r="E62" s="42"/>
    </row>
    <row r="63" spans="1:10" outlineLevel="1" x14ac:dyDescent="0.2">
      <c r="C63" s="98" t="s">
        <v>40</v>
      </c>
      <c r="D63" s="99">
        <f>D24</f>
        <v>22000</v>
      </c>
      <c r="E63" s="42"/>
    </row>
    <row r="64" spans="1:10" outlineLevel="1" x14ac:dyDescent="0.2">
      <c r="C64" s="100" t="s">
        <v>33</v>
      </c>
      <c r="D64" s="101">
        <f>SUM(D61:D63)</f>
        <v>537995.21970249992</v>
      </c>
      <c r="E64" s="42"/>
    </row>
    <row r="65" spans="1:10" ht="25.5" outlineLevel="1" x14ac:dyDescent="0.2">
      <c r="C65" s="58" t="s">
        <v>39</v>
      </c>
      <c r="D65" s="102">
        <v>0.25</v>
      </c>
    </row>
    <row r="66" spans="1:10" outlineLevel="1" x14ac:dyDescent="0.2">
      <c r="C66" s="103" t="s">
        <v>34</v>
      </c>
      <c r="D66" s="99">
        <f>D25</f>
        <v>130000</v>
      </c>
      <c r="E66" s="42"/>
    </row>
    <row r="67" spans="1:10" outlineLevel="1" x14ac:dyDescent="0.2">
      <c r="C67" s="104" t="s">
        <v>35</v>
      </c>
      <c r="D67" s="101">
        <f>D66*D65</f>
        <v>32500</v>
      </c>
    </row>
    <row r="68" spans="1:10" ht="13.5" outlineLevel="1" thickBot="1" x14ac:dyDescent="0.25">
      <c r="C68" s="105" t="s">
        <v>37</v>
      </c>
      <c r="D68" s="106">
        <f>SUM(D67,D64)</f>
        <v>570495.21970249992</v>
      </c>
    </row>
    <row r="69" spans="1:10" ht="17.25" outlineLevel="1" thickBot="1" x14ac:dyDescent="0.35">
      <c r="B69" s="3"/>
      <c r="C69" s="107"/>
      <c r="D69" s="108"/>
    </row>
    <row r="70" spans="1:10" ht="25.5" outlineLevel="1" x14ac:dyDescent="0.2">
      <c r="C70" s="48" t="s">
        <v>105</v>
      </c>
      <c r="D70" s="109">
        <f>D27</f>
        <v>1.5E-3</v>
      </c>
    </row>
    <row r="71" spans="1:10" ht="26.25" outlineLevel="1" thickBot="1" x14ac:dyDescent="0.25">
      <c r="C71" s="50" t="s">
        <v>106</v>
      </c>
      <c r="D71" s="110">
        <f>D28</f>
        <v>0.1</v>
      </c>
    </row>
    <row r="72" spans="1:10" outlineLevel="1" x14ac:dyDescent="0.2">
      <c r="C72" s="46"/>
      <c r="D72" s="111"/>
    </row>
    <row r="73" spans="1:10" ht="16.5" outlineLevel="1" x14ac:dyDescent="0.3">
      <c r="A73" s="6"/>
      <c r="B73" s="147" t="s">
        <v>107</v>
      </c>
    </row>
    <row r="74" spans="1:10" ht="16.5" outlineLevel="1" x14ac:dyDescent="0.2">
      <c r="A74" s="6"/>
      <c r="C74" s="148" t="s">
        <v>23</v>
      </c>
    </row>
    <row r="75" spans="1:10" ht="9" customHeight="1" outlineLevel="1" thickBot="1" x14ac:dyDescent="0.25">
      <c r="B75" s="6"/>
    </row>
    <row r="76" spans="1:10" ht="15.75" customHeight="1" outlineLevel="1" x14ac:dyDescent="0.2">
      <c r="A76" s="69"/>
      <c r="C76" s="112"/>
      <c r="D76" s="78"/>
      <c r="E76" s="79"/>
      <c r="F76" s="79"/>
      <c r="G76" s="157" t="s">
        <v>121</v>
      </c>
      <c r="H76" s="157"/>
      <c r="I76" s="157" t="s">
        <v>94</v>
      </c>
      <c r="J76" s="158"/>
    </row>
    <row r="77" spans="1:10" ht="55.5" customHeight="1" outlineLevel="1" x14ac:dyDescent="0.2">
      <c r="A77" s="69"/>
      <c r="C77" s="80" t="s">
        <v>49</v>
      </c>
      <c r="D77" s="81" t="s">
        <v>19</v>
      </c>
      <c r="E77" s="81" t="s">
        <v>96</v>
      </c>
      <c r="F77" s="82" t="s">
        <v>97</v>
      </c>
      <c r="G77" s="82" t="s">
        <v>8</v>
      </c>
      <c r="H77" s="82" t="s">
        <v>14</v>
      </c>
      <c r="I77" s="82" t="s">
        <v>8</v>
      </c>
      <c r="J77" s="83" t="s">
        <v>14</v>
      </c>
    </row>
    <row r="78" spans="1:10" s="3" customFormat="1" ht="33" customHeight="1" outlineLevel="1" x14ac:dyDescent="0.2">
      <c r="B78" s="56"/>
      <c r="C78" s="58" t="s">
        <v>20</v>
      </c>
      <c r="D78" s="84">
        <v>1</v>
      </c>
      <c r="E78" s="85">
        <v>1</v>
      </c>
      <c r="F78" s="86">
        <f t="shared" ref="F78:F79" si="2">D78*E78</f>
        <v>1</v>
      </c>
      <c r="G78" s="87">
        <f>D68*D70</f>
        <v>855.74282955374986</v>
      </c>
      <c r="H78" s="87">
        <f>G78/$D$12</f>
        <v>122.2489756505357</v>
      </c>
      <c r="I78" s="87">
        <f>G78*F78</f>
        <v>855.74282955374986</v>
      </c>
      <c r="J78" s="88">
        <f>H78*F78</f>
        <v>122.2489756505357</v>
      </c>
    </row>
    <row r="79" spans="1:10" s="3" customFormat="1" ht="33" customHeight="1" outlineLevel="1" thickBot="1" x14ac:dyDescent="0.25">
      <c r="B79" s="56"/>
      <c r="C79" s="89" t="s">
        <v>21</v>
      </c>
      <c r="D79" s="90">
        <v>1</v>
      </c>
      <c r="E79" s="91">
        <v>1</v>
      </c>
      <c r="F79" s="92">
        <f t="shared" si="2"/>
        <v>1</v>
      </c>
      <c r="G79" s="93">
        <f>D68*D71</f>
        <v>57049.521970249996</v>
      </c>
      <c r="H79" s="93">
        <f>G79/$D$12</f>
        <v>8149.9317100357139</v>
      </c>
      <c r="I79" s="93">
        <f>G79*F79</f>
        <v>57049.521970249996</v>
      </c>
      <c r="J79" s="94">
        <f>H79*F79</f>
        <v>8149.9317100357139</v>
      </c>
    </row>
    <row r="80" spans="1:10" ht="16.5" outlineLevel="1" thickBot="1" x14ac:dyDescent="0.25">
      <c r="C80" s="124" t="s">
        <v>5</v>
      </c>
      <c r="D80" s="130"/>
      <c r="E80" s="131"/>
      <c r="F80" s="132"/>
      <c r="G80" s="128">
        <f>SUM(G78:G79)</f>
        <v>57905.264799803743</v>
      </c>
      <c r="H80" s="128">
        <f>SUM(H78:H79)</f>
        <v>8272.1806856862495</v>
      </c>
      <c r="I80" s="128">
        <f>SUM(I78:I79)</f>
        <v>57905.264799803743</v>
      </c>
      <c r="J80" s="129">
        <f>SUM(J78:J79)</f>
        <v>8272.1806856862495</v>
      </c>
    </row>
    <row r="81" spans="1:10" outlineLevel="1" x14ac:dyDescent="0.2">
      <c r="J81" s="42"/>
    </row>
    <row r="82" spans="1:10" ht="15.75" x14ac:dyDescent="0.25">
      <c r="B82" s="95" t="s">
        <v>122</v>
      </c>
      <c r="J82" s="42"/>
    </row>
    <row r="83" spans="1:10" ht="16.5" thickBot="1" x14ac:dyDescent="0.3">
      <c r="B83" s="95"/>
    </row>
    <row r="84" spans="1:10" ht="15.75" customHeight="1" x14ac:dyDescent="0.2">
      <c r="A84" s="69"/>
      <c r="C84" s="77"/>
      <c r="D84" s="157" t="s">
        <v>52</v>
      </c>
      <c r="E84" s="158"/>
    </row>
    <row r="85" spans="1:10" ht="55.5" customHeight="1" x14ac:dyDescent="0.2">
      <c r="A85" s="69"/>
      <c r="C85" s="80" t="s">
        <v>55</v>
      </c>
      <c r="D85" s="82" t="s">
        <v>98</v>
      </c>
      <c r="E85" s="83" t="s">
        <v>14</v>
      </c>
    </row>
    <row r="86" spans="1:10" ht="30.75" customHeight="1" x14ac:dyDescent="0.2">
      <c r="A86" s="69"/>
      <c r="C86" s="80" t="s">
        <v>56</v>
      </c>
      <c r="D86" s="113">
        <f>I53</f>
        <v>13601.040172226461</v>
      </c>
      <c r="E86" s="114">
        <f>J53</f>
        <v>1943.0057388894945</v>
      </c>
    </row>
    <row r="87" spans="1:10" ht="26.25" customHeight="1" x14ac:dyDescent="0.2">
      <c r="A87" s="69"/>
      <c r="C87" s="80" t="s">
        <v>108</v>
      </c>
      <c r="D87" s="113">
        <f>I80</f>
        <v>57905.264799803743</v>
      </c>
      <c r="E87" s="114">
        <f>J80</f>
        <v>8272.1806856862495</v>
      </c>
    </row>
    <row r="88" spans="1:10" ht="26.25" customHeight="1" x14ac:dyDescent="0.2">
      <c r="A88" s="69"/>
      <c r="B88" s="149">
        <v>0.03</v>
      </c>
      <c r="C88" s="80" t="s">
        <v>54</v>
      </c>
      <c r="D88" s="113">
        <f>B88*(D87+D86)</f>
        <v>2145.1891491609063</v>
      </c>
      <c r="E88" s="114">
        <f>B88*(E87+E86)</f>
        <v>306.4555927372723</v>
      </c>
    </row>
    <row r="89" spans="1:10" ht="15.75" x14ac:dyDescent="0.25">
      <c r="B89" s="95"/>
      <c r="C89" s="104" t="s">
        <v>51</v>
      </c>
      <c r="D89" s="116">
        <f>SUM(D86:D88)</f>
        <v>73651.494121191121</v>
      </c>
      <c r="E89" s="117">
        <f>SUM(E86:E88)</f>
        <v>10521.642017313017</v>
      </c>
    </row>
    <row r="90" spans="1:10" s="3" customFormat="1" x14ac:dyDescent="0.2">
      <c r="B90" s="56"/>
      <c r="C90" s="118" t="s">
        <v>9</v>
      </c>
      <c r="D90" s="119">
        <f>D89*$D$31</f>
        <v>22095.448236357337</v>
      </c>
      <c r="E90" s="120">
        <f>E89*$D$31</f>
        <v>3156.4926051939051</v>
      </c>
    </row>
    <row r="91" spans="1:10" s="3" customFormat="1" x14ac:dyDescent="0.2">
      <c r="B91" s="56"/>
      <c r="C91" s="104" t="s">
        <v>109</v>
      </c>
      <c r="D91" s="116">
        <f>SUM(D89:D90)</f>
        <v>95746.942357548454</v>
      </c>
      <c r="E91" s="117">
        <f>SUM(E89:E90)</f>
        <v>13678.134622506923</v>
      </c>
    </row>
    <row r="92" spans="1:10" s="3" customFormat="1" x14ac:dyDescent="0.2">
      <c r="B92" s="56"/>
      <c r="C92" s="118" t="s">
        <v>12</v>
      </c>
      <c r="D92" s="119">
        <f>D91*(1/(1-$D$32)-1)</f>
        <v>16896.519239567377</v>
      </c>
      <c r="E92" s="120">
        <f>E91*(1/(1-$D$32)-1)</f>
        <v>2413.7884627953399</v>
      </c>
    </row>
    <row r="93" spans="1:10" s="3" customFormat="1" x14ac:dyDescent="0.2">
      <c r="B93" s="56"/>
      <c r="C93" s="104" t="s">
        <v>13</v>
      </c>
      <c r="D93" s="116">
        <f>SUM(D91:D92)</f>
        <v>112643.46159711583</v>
      </c>
      <c r="E93" s="117">
        <f>SUM(E91:E92)</f>
        <v>16091.923085302264</v>
      </c>
    </row>
    <row r="94" spans="1:10" s="3" customFormat="1" ht="33" customHeight="1" x14ac:dyDescent="0.2">
      <c r="B94" s="56"/>
      <c r="C94" s="118" t="s">
        <v>15</v>
      </c>
      <c r="D94" s="119">
        <f>D93*$D$33</f>
        <v>5632.1730798557919</v>
      </c>
      <c r="E94" s="120">
        <f>E93*$D$33</f>
        <v>804.59615426511323</v>
      </c>
    </row>
    <row r="95" spans="1:10" s="3" customFormat="1" ht="20.25" customHeight="1" thickBot="1" x14ac:dyDescent="0.25">
      <c r="B95" s="56"/>
      <c r="C95" s="133" t="s">
        <v>22</v>
      </c>
      <c r="D95" s="134">
        <f>SUM(D93:D94)</f>
        <v>118275.63467697163</v>
      </c>
      <c r="E95" s="135">
        <f>SUM(E93:E94)</f>
        <v>16896.519239567377</v>
      </c>
    </row>
    <row r="96" spans="1:10" ht="13.5" thickBot="1" x14ac:dyDescent="0.25">
      <c r="E96" s="42"/>
    </row>
    <row r="97" spans="3:8" ht="25.5" x14ac:dyDescent="0.2">
      <c r="C97" s="121"/>
      <c r="D97" s="122" t="s">
        <v>110</v>
      </c>
      <c r="E97" s="123" t="s">
        <v>62</v>
      </c>
    </row>
    <row r="98" spans="3:8" ht="19.5" customHeight="1" thickBot="1" x14ac:dyDescent="0.25">
      <c r="C98" s="133" t="s">
        <v>22</v>
      </c>
      <c r="D98" s="136">
        <f>D95/12</f>
        <v>9856.3028897476361</v>
      </c>
      <c r="E98" s="137">
        <f>E95/12</f>
        <v>1408.043269963948</v>
      </c>
    </row>
    <row r="99" spans="3:8" x14ac:dyDescent="0.2">
      <c r="D99" s="42">
        <f>D98-D100</f>
        <v>4046.0548043331664</v>
      </c>
      <c r="E99" s="42">
        <f>E98-E100</f>
        <v>578.0078291904523</v>
      </c>
    </row>
    <row r="100" spans="3:8" x14ac:dyDescent="0.2">
      <c r="D100" s="1">
        <v>5810.2480854144696</v>
      </c>
      <c r="E100" s="1">
        <v>830.03544077349568</v>
      </c>
    </row>
    <row r="101" spans="3:8" ht="19.5" customHeight="1" x14ac:dyDescent="0.2">
      <c r="C101" s="163"/>
      <c r="D101" s="163"/>
      <c r="E101" s="163"/>
      <c r="F101" s="163"/>
      <c r="G101" s="163"/>
      <c r="H101" s="163"/>
    </row>
  </sheetData>
  <mergeCells count="11">
    <mergeCell ref="C58:H58"/>
    <mergeCell ref="A2:J2"/>
    <mergeCell ref="A4:J4"/>
    <mergeCell ref="C5:J5"/>
    <mergeCell ref="G47:H47"/>
    <mergeCell ref="I47:J47"/>
    <mergeCell ref="C59:H59"/>
    <mergeCell ref="G76:H76"/>
    <mergeCell ref="I76:J76"/>
    <mergeCell ref="D84:E84"/>
    <mergeCell ref="C101:H101"/>
  </mergeCells>
  <pageMargins left="0.70866141732283472" right="0.70866141732283472" top="0.74803149606299213" bottom="0.74803149606299213" header="0.31496062992125984" footer="0.31496062992125984"/>
  <pageSetup paperSize="9" scale="68" fitToHeight="4" orientation="landscape" r:id="rId1"/>
  <rowBreaks count="3" manualBreakCount="3">
    <brk id="35" max="16383" man="1"/>
    <brk id="55" max="16383" man="1"/>
    <brk id="8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9"/>
  <sheetViews>
    <sheetView zoomScaleNormal="100" zoomScaleSheetLayoutView="100" workbookViewId="0">
      <selection activeCell="E8" sqref="E8"/>
    </sheetView>
  </sheetViews>
  <sheetFormatPr defaultColWidth="9.140625" defaultRowHeight="16.5" x14ac:dyDescent="0.3"/>
  <cols>
    <col min="1" max="1" width="9.140625" style="8"/>
    <col min="2" max="2" width="60.5703125" style="8" bestFit="1" customWidth="1"/>
    <col min="3" max="6" width="14.140625" style="8" customWidth="1"/>
    <col min="7" max="16384" width="9.140625" style="8"/>
  </cols>
  <sheetData>
    <row r="2" spans="2:6" x14ac:dyDescent="0.3">
      <c r="B2" s="156" t="s">
        <v>125</v>
      </c>
    </row>
    <row r="4" spans="2:6" x14ac:dyDescent="0.3">
      <c r="B4" s="154" t="s">
        <v>22</v>
      </c>
      <c r="C4" s="155" t="s">
        <v>66</v>
      </c>
      <c r="D4" s="155" t="s">
        <v>68</v>
      </c>
      <c r="E4" s="155" t="s">
        <v>111</v>
      </c>
      <c r="F4" s="155" t="s">
        <v>117</v>
      </c>
    </row>
    <row r="5" spans="2:6" x14ac:dyDescent="0.3">
      <c r="B5" s="153" t="s">
        <v>61</v>
      </c>
      <c r="C5" s="152">
        <f>'ВЛ-0,4 кВ'!D104</f>
        <v>4756.2582216467863</v>
      </c>
      <c r="D5" s="152">
        <f>'ВЛ-6 (10) кВ'!D99</f>
        <v>5027.9980376374233</v>
      </c>
      <c r="E5" s="152">
        <f>'ВЛ 35 кВ'!D99</f>
        <v>7871.4379653544247</v>
      </c>
      <c r="F5" s="152">
        <f>'ВЛ 110 кВ'!D98</f>
        <v>9856.3028897476361</v>
      </c>
    </row>
    <row r="6" spans="2:6" x14ac:dyDescent="0.3">
      <c r="B6" s="153" t="s">
        <v>62</v>
      </c>
      <c r="C6" s="152">
        <f>'ВЛ-0,4 кВ'!E104</f>
        <v>148.63306942646207</v>
      </c>
      <c r="D6" s="152">
        <f>'ВЛ-6 (10) кВ'!E99</f>
        <v>201.1199215054969</v>
      </c>
      <c r="E6" s="152">
        <f>'ВЛ 35 кВ'!E99</f>
        <v>524.76253102362841</v>
      </c>
      <c r="F6" s="152">
        <f>'ВЛ 110 кВ'!E98</f>
        <v>1408.043269963948</v>
      </c>
    </row>
    <row r="7" spans="2:6" ht="6.75" customHeight="1" x14ac:dyDescent="0.3">
      <c r="B7" s="153"/>
      <c r="C7" s="152"/>
      <c r="D7" s="152"/>
      <c r="E7" s="152"/>
      <c r="F7" s="152"/>
    </row>
    <row r="8" spans="2:6" x14ac:dyDescent="0.3">
      <c r="B8" s="151" t="s">
        <v>86</v>
      </c>
      <c r="C8" s="152">
        <f>'ВЛ-0,4 кВ'!D20</f>
        <v>861078.04999999981</v>
      </c>
      <c r="D8" s="152">
        <f>'ВЛ-6 (10) кВ'!D15</f>
        <v>961415.25</v>
      </c>
      <c r="E8" s="152">
        <f>'ВЛ 35 кВ'!D16</f>
        <v>3656874.24</v>
      </c>
      <c r="F8" s="152">
        <f>'ВЛ 110 кВ'!D15</f>
        <v>4530603.47</v>
      </c>
    </row>
    <row r="9" spans="2:6" x14ac:dyDescent="0.3">
      <c r="B9" s="151" t="s">
        <v>90</v>
      </c>
      <c r="C9" s="152">
        <f>'ВЛ-0,4 кВ'!D27</f>
        <v>114382.2646299747</v>
      </c>
      <c r="D9" s="152">
        <f>'ВЛ-6 (10) кВ'!D22</f>
        <v>120402.3838210259</v>
      </c>
      <c r="E9" s="152">
        <f>'ВЛ 35 кВ'!D23</f>
        <v>212468.61987749996</v>
      </c>
      <c r="F9" s="152">
        <f>'ВЛ 110 кВ'!D22</f>
        <v>303526.59982499998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ВЛ-0,4 кВ</vt:lpstr>
      <vt:lpstr>ВЛ-6 (10) кВ</vt:lpstr>
      <vt:lpstr>ВЛ 35 кВ</vt:lpstr>
      <vt:lpstr>ВЛ 110 кВ</vt:lpstr>
      <vt:lpstr>СВОД</vt:lpstr>
      <vt:lpstr>'ВЛ 110 кВ'!Область_печати</vt:lpstr>
      <vt:lpstr>'ВЛ 35 кВ'!Область_печати</vt:lpstr>
      <vt:lpstr>'ВЛ-0,4 кВ'!Область_печати</vt:lpstr>
      <vt:lpstr>'ВЛ-6 (10) кВ'!Область_печати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Россети</dc:creator>
  <cp:lastModifiedBy>Пигунов Николай Геннадьевич</cp:lastModifiedBy>
  <cp:lastPrinted>2018-08-16T11:43:03Z</cp:lastPrinted>
  <dcterms:created xsi:type="dcterms:W3CDTF">2016-10-05T10:56:01Z</dcterms:created>
  <dcterms:modified xsi:type="dcterms:W3CDTF">2018-10-15T09:16:42Z</dcterms:modified>
</cp:coreProperties>
</file>